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ThisWorkbook" autoCompressPictures="0"/>
  <workbookProtection workbookPassword="E31B" lockStructure="1"/>
  <bookViews>
    <workbookView xWindow="3570" yWindow="675" windowWidth="19620" windowHeight="1123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11" i="5" l="1"/>
  <c r="C11" i="5"/>
  <c r="B14" i="5"/>
  <c r="C14" i="5"/>
  <c r="B8" i="5"/>
  <c r="C8" i="5"/>
  <c r="B9" i="5"/>
  <c r="C9" i="5"/>
  <c r="B10" i="5"/>
  <c r="C10" i="5"/>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c r="H10" i="6" s="1"/>
  <c r="A5" i="4"/>
  <c r="B60" i="6"/>
  <c r="G60" i="6" s="1"/>
  <c r="B59" i="6"/>
  <c r="G59" i="6" s="1"/>
  <c r="B58" i="6"/>
  <c r="G58" i="6"/>
  <c r="B56" i="6"/>
  <c r="G56" i="6" s="1"/>
  <c r="B55" i="6"/>
  <c r="G55" i="6" s="1"/>
  <c r="B54" i="6"/>
  <c r="G54" i="6" s="1"/>
  <c r="B53" i="6"/>
  <c r="G53" i="6"/>
  <c r="B50" i="6"/>
  <c r="G50" i="6" s="1"/>
  <c r="H14" i="6"/>
  <c r="H61" i="4"/>
  <c r="B86" i="4"/>
  <c r="B28" i="6" l="1"/>
  <c r="B33" i="6"/>
  <c r="B23" i="6"/>
  <c r="B48" i="6" s="1"/>
  <c r="B38" i="6"/>
  <c r="F23" i="6"/>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G23" i="6"/>
  <c r="H23" i="6" s="1"/>
  <c r="D23"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C12" i="6" s="1"/>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C10" i="6" l="1"/>
  <c r="C7" i="5"/>
  <c r="B7" i="5"/>
  <c r="C6" i="5"/>
  <c r="B6" i="5"/>
  <c r="C5" i="5"/>
  <c r="B5" i="5"/>
  <c r="B43" i="6"/>
  <c r="C13" i="6"/>
  <c r="C11" i="6"/>
  <c r="C8" i="6"/>
  <c r="C7" i="6"/>
  <c r="C5"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36" i="6" s="1"/>
  <c r="B30" i="6"/>
  <c r="G30" i="6" s="1"/>
  <c r="F41" i="6"/>
  <c r="B41" i="6"/>
  <c r="G41" i="6" s="1"/>
  <c r="H41" i="6" s="1"/>
  <c r="F63" i="6"/>
  <c r="G21" i="6"/>
  <c r="H21" i="6" s="1"/>
  <c r="B26" i="6"/>
  <c r="G26" i="6" s="1"/>
  <c r="H26" i="6" s="1"/>
  <c r="C26" i="6" s="1"/>
  <c r="B36" i="6"/>
  <c r="B46" i="6"/>
  <c r="G46" i="6" s="1"/>
  <c r="G31" i="6"/>
  <c r="H22" i="6"/>
  <c r="D22" i="6" s="1"/>
  <c r="G47" i="6"/>
  <c r="G42" i="6"/>
  <c r="K65" i="6"/>
  <c r="C65" i="6" s="1"/>
  <c r="G27" i="6"/>
  <c r="G32" i="6"/>
  <c r="G43" i="6"/>
  <c r="G38" i="6"/>
  <c r="G35" i="6"/>
  <c r="G28" i="6"/>
  <c r="G33"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H36" i="6" l="1"/>
  <c r="C36" i="6" s="1"/>
  <c r="H25" i="6"/>
  <c r="C25" i="6" s="1"/>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F45" i="6"/>
  <c r="H45" i="6" s="1"/>
  <c r="F62" i="6"/>
  <c r="B2" i="6" s="1"/>
  <c r="F40" i="6"/>
  <c r="H40" i="6" s="1"/>
  <c r="D40" i="6" s="1"/>
  <c r="F35" i="6"/>
  <c r="H35" i="6" s="1"/>
  <c r="F30" i="6"/>
  <c r="H30" i="6" s="1"/>
  <c r="F46" i="6"/>
  <c r="H46" i="6" s="1"/>
  <c r="F31" i="6"/>
  <c r="H31" i="6" s="1"/>
  <c r="D31" i="6" s="1"/>
  <c r="C20" i="6"/>
  <c r="D21" i="6"/>
  <c r="C21" i="6"/>
  <c r="K63" i="6"/>
  <c r="D26" i="6"/>
  <c r="H32" i="6"/>
  <c r="C32" i="6" s="1"/>
  <c r="C22" i="6"/>
  <c r="C41" i="6"/>
  <c r="D41" i="6"/>
  <c r="F38" i="6"/>
  <c r="H38" i="6" s="1"/>
  <c r="F43" i="6"/>
  <c r="H43" i="6" s="1"/>
  <c r="H28" i="6"/>
  <c r="F65" i="6"/>
  <c r="F33" i="6"/>
  <c r="H33" i="6" s="1"/>
  <c r="F48" i="6"/>
  <c r="H48" i="6" s="1"/>
  <c r="D36" i="6"/>
  <c r="F66" i="6"/>
  <c r="C66" i="6" s="1"/>
  <c r="C42" i="6"/>
  <c r="D42" i="6"/>
  <c r="D3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D25" i="6" l="1"/>
  <c r="D35" i="6"/>
  <c r="C35" i="6"/>
  <c r="G57" i="5"/>
  <c r="I57" i="5"/>
  <c r="E57" i="5"/>
  <c r="I541" i="5"/>
  <c r="G541" i="5"/>
  <c r="E541" i="5"/>
  <c r="H541" i="5"/>
  <c r="J57" i="5"/>
  <c r="R541" i="5"/>
  <c r="F57" i="5"/>
  <c r="H57" i="5"/>
  <c r="G73" i="5"/>
  <c r="F468" i="5"/>
  <c r="J541" i="5"/>
  <c r="F73" i="5"/>
  <c r="H73" i="5"/>
  <c r="J73" i="5"/>
  <c r="I73" i="5"/>
  <c r="J33" i="5"/>
  <c r="R33" i="5"/>
  <c r="I17" i="5"/>
  <c r="R17" i="5"/>
  <c r="H17" i="5"/>
  <c r="F33" i="5"/>
  <c r="I33" i="5"/>
  <c r="E33" i="5"/>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X541"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X33"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E5" i="5"/>
  <c r="R5" i="5"/>
  <c r="I5" i="5"/>
  <c r="J5" i="5"/>
  <c r="H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H6" i="5"/>
  <c r="I6" i="5"/>
  <c r="R6" i="5"/>
  <c r="F6" i="5"/>
  <c r="J6" i="5"/>
  <c r="E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33" i="5"/>
  <c r="T17" i="5"/>
  <c r="T468" i="5"/>
  <c r="S17"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24" i="5"/>
  <c r="T491" i="5"/>
  <c r="T535" i="5"/>
  <c r="T472" i="5"/>
  <c r="T357" i="5"/>
  <c r="T247" i="5"/>
  <c r="T168" i="5"/>
  <c r="T148" i="5"/>
  <c r="T31" i="5"/>
  <c r="T56" i="5"/>
  <c r="T78" i="5"/>
  <c r="T403" i="5"/>
  <c r="T538" i="5"/>
  <c r="T278" i="5"/>
  <c r="T189" i="5"/>
  <c r="T72" i="5"/>
  <c r="T91" i="5"/>
  <c r="T37"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30" i="5"/>
  <c r="T80" i="5"/>
  <c r="T157" i="5"/>
  <c r="T82" i="5"/>
  <c r="T42" i="5"/>
  <c r="T565" i="5"/>
  <c r="T455" i="5"/>
  <c r="T140" i="5"/>
  <c r="T270" i="5"/>
  <c r="T103" i="5"/>
  <c r="T558" i="5"/>
  <c r="T442" i="5"/>
  <c r="T353" i="5"/>
  <c r="T194" i="5"/>
  <c r="T160" i="5"/>
  <c r="T101" i="5"/>
  <c r="T44" i="5"/>
  <c r="T161" i="5"/>
  <c r="T46" i="5"/>
  <c r="T14" i="5"/>
  <c r="T133" i="5"/>
  <c r="T499" i="5"/>
  <c r="T381" i="5"/>
  <c r="T35" i="5"/>
  <c r="T19" i="5"/>
  <c r="T512" i="5"/>
  <c r="T458" i="5"/>
  <c r="T158" i="5"/>
  <c r="T25"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34" i="5"/>
  <c r="T432" i="5"/>
  <c r="T485" i="5"/>
  <c r="T402" i="5"/>
  <c r="T356" i="5"/>
  <c r="T210" i="5"/>
  <c r="T258" i="5"/>
  <c r="T216" i="5"/>
  <c r="T125" i="5"/>
  <c r="T165" i="5"/>
  <c r="T58" i="5"/>
  <c r="T146" i="5"/>
  <c r="T449" i="5"/>
  <c r="T224" i="5"/>
  <c r="T201" i="5"/>
  <c r="T181" i="5"/>
  <c r="T67" i="5"/>
  <c r="T15" i="5"/>
  <c r="T493" i="5"/>
  <c r="T443" i="5"/>
  <c r="T478" i="5"/>
  <c r="T364" i="5"/>
  <c r="T275" i="5"/>
  <c r="T232" i="5"/>
  <c r="T164" i="5"/>
  <c r="T550" i="5"/>
  <c r="T546" i="5"/>
  <c r="T498" i="5"/>
  <c r="T549" i="5"/>
  <c r="T104" i="5"/>
  <c r="T29" i="5"/>
  <c r="T177" i="5"/>
  <c r="T86" i="5"/>
  <c r="T39" i="5"/>
  <c r="T84" i="5"/>
  <c r="T529" i="5"/>
  <c r="T377" i="5"/>
  <c r="T384" i="5"/>
  <c r="T240" i="5"/>
  <c r="S541" i="5"/>
  <c r="T554" i="5"/>
  <c r="T585" i="5"/>
  <c r="T454" i="5"/>
  <c r="T439" i="5"/>
  <c r="T359" i="5"/>
  <c r="T250" i="5"/>
  <c r="T23"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13" i="5"/>
  <c r="T64" i="5"/>
  <c r="T28" i="5"/>
  <c r="T580" i="5"/>
  <c r="T416" i="5"/>
  <c r="T461" i="5"/>
  <c r="T456" i="5"/>
  <c r="T465" i="5"/>
  <c r="T425" i="5"/>
  <c r="T218" i="5"/>
  <c r="T156" i="5"/>
  <c r="T92" i="5"/>
  <c r="T490" i="5"/>
  <c r="T383" i="5"/>
  <c r="T212" i="5"/>
  <c r="T110" i="5"/>
  <c r="T70" i="5"/>
  <c r="T21" i="5"/>
  <c r="T75" i="5"/>
  <c r="T12" i="5"/>
  <c r="T115" i="5"/>
  <c r="T98" i="5"/>
  <c r="T81" i="5"/>
  <c r="T569" i="5"/>
  <c r="T379" i="5"/>
  <c r="T391" i="5"/>
  <c r="T505" i="5"/>
  <c r="T274" i="5"/>
  <c r="T196" i="5"/>
  <c r="T172" i="5"/>
  <c r="T108" i="5"/>
  <c r="T20" i="5"/>
  <c r="T27" i="5"/>
  <c r="T18"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S33" i="5"/>
  <c r="T366" i="5"/>
  <c r="T525" i="5"/>
  <c r="T199" i="5"/>
  <c r="T231" i="5"/>
  <c r="T280" i="5"/>
  <c r="T132" i="5"/>
  <c r="T551" i="5"/>
  <c r="T435" i="5"/>
  <c r="T568" i="5"/>
  <c r="S468" i="5"/>
  <c r="T273" i="5"/>
  <c r="T426" i="5"/>
  <c r="T533" i="5"/>
  <c r="T120" i="5"/>
  <c r="T405" i="5"/>
  <c r="T557" i="5"/>
  <c r="T429" i="5"/>
  <c r="T411" i="5"/>
  <c r="T388" i="5"/>
  <c r="T237" i="5"/>
  <c r="T171" i="5"/>
  <c r="T66" i="5"/>
  <c r="T59" i="5"/>
  <c r="T36" i="5"/>
  <c r="T245" i="5"/>
  <c r="T476" i="5"/>
  <c r="T440" i="5"/>
  <c r="T137" i="5"/>
  <c r="T427" i="5"/>
  <c r="T239" i="5"/>
  <c r="T261" i="5"/>
  <c r="T43" i="5"/>
  <c r="T540" i="5"/>
  <c r="T487" i="5"/>
  <c r="T373" i="5"/>
  <c r="T408" i="5"/>
  <c r="T482" i="5"/>
  <c r="T249" i="5"/>
  <c r="T234" i="5"/>
  <c r="T279" i="5"/>
  <c r="T117" i="5"/>
  <c r="T48" i="5"/>
  <c r="T453" i="5"/>
  <c r="T183" i="5"/>
  <c r="T76" i="5"/>
  <c r="T184" i="5"/>
  <c r="T16" i="5"/>
  <c r="T105" i="5"/>
  <c r="T268" i="5"/>
  <c r="T22" i="5"/>
  <c r="T492" i="5"/>
  <c r="T477" i="5"/>
  <c r="T123" i="5"/>
  <c r="T543" i="5"/>
  <c r="T576" i="5"/>
  <c r="T459" i="5"/>
  <c r="T202" i="5"/>
  <c r="T55" i="5"/>
  <c r="T523" i="5"/>
  <c r="T431" i="5"/>
  <c r="T392" i="5"/>
  <c r="T390" i="5"/>
  <c r="T252" i="5"/>
  <c r="T205" i="5"/>
  <c r="T96" i="5"/>
  <c r="T155" i="5"/>
  <c r="T60" i="5"/>
  <c r="T111" i="5"/>
  <c r="T355" i="5"/>
  <c r="T266" i="5"/>
  <c r="T265" i="5"/>
  <c r="T254" i="5"/>
  <c r="T494" i="5"/>
  <c r="T40" i="5"/>
  <c r="T79" i="5"/>
  <c r="T47" i="5"/>
  <c r="T63" i="5"/>
  <c r="T41" i="5"/>
  <c r="T282" i="5"/>
  <c r="T236" i="5"/>
  <c r="T193" i="5"/>
  <c r="T170" i="5"/>
  <c r="T166" i="5"/>
  <c r="T38" i="5"/>
  <c r="T566" i="5"/>
  <c r="T506" i="5"/>
  <c r="T126" i="5"/>
  <c r="T520" i="5"/>
  <c r="T486" i="5"/>
  <c r="T387" i="5"/>
  <c r="T246" i="5"/>
  <c r="T243" i="5"/>
  <c r="T134" i="5"/>
  <c r="T114" i="5"/>
  <c r="T97" i="5"/>
  <c r="T26" i="5"/>
  <c r="T169" i="5"/>
  <c r="T178" i="5"/>
  <c r="T11" i="5"/>
  <c r="T9" i="5"/>
  <c r="T8" i="5"/>
  <c r="T10" i="5"/>
  <c r="T7" i="5"/>
  <c r="T6" i="5"/>
  <c r="T5" i="5"/>
  <c r="C63" i="6" l="1"/>
  <c r="H64" i="6"/>
  <c r="D64" i="6" s="1"/>
  <c r="C64" i="6"/>
  <c r="C62" i="6"/>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15"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2" i="5"/>
  <c r="S234" i="5"/>
  <c r="S487" i="5"/>
  <c r="S434" i="5"/>
  <c r="S371" i="5"/>
  <c r="S511" i="5"/>
  <c r="S113" i="5"/>
  <c r="S116" i="5"/>
  <c r="S255" i="5"/>
  <c r="S19" i="5"/>
  <c r="S131" i="5"/>
  <c r="S169" i="5"/>
  <c r="S452" i="5"/>
  <c r="S436" i="5"/>
  <c r="S213" i="5"/>
  <c r="S352" i="5"/>
  <c r="S496" i="5"/>
  <c r="S74" i="5"/>
  <c r="S530" i="5"/>
  <c r="S18" i="5"/>
  <c r="S274" i="5"/>
  <c r="S505" i="5"/>
  <c r="S509" i="5"/>
  <c r="S115" i="5"/>
  <c r="S67" i="5"/>
  <c r="S12" i="5"/>
  <c r="S75" i="5"/>
  <c r="S70" i="5"/>
  <c r="S91" i="5"/>
  <c r="S125" i="5"/>
  <c r="S258" i="5"/>
  <c r="S402" i="5"/>
  <c r="S403" i="5"/>
  <c r="S24"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40" i="5"/>
  <c r="S201" i="5"/>
  <c r="S420" i="5"/>
  <c r="S146" i="5"/>
  <c r="S110" i="5"/>
  <c r="S356" i="5"/>
  <c r="S432" i="5"/>
  <c r="S34"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41" i="5"/>
  <c r="S164" i="5"/>
  <c r="S275" i="5"/>
  <c r="S493" i="5"/>
  <c r="S569" i="5"/>
  <c r="S162" i="5"/>
  <c r="S153" i="5"/>
  <c r="S155" i="5"/>
  <c r="S96" i="5"/>
  <c r="S210" i="5"/>
  <c r="S392" i="5"/>
  <c r="S538" i="5"/>
  <c r="S559" i="5"/>
  <c r="S247" i="5"/>
  <c r="S394" i="5"/>
  <c r="S465" i="5"/>
  <c r="S580" i="5"/>
  <c r="S13" i="5"/>
  <c r="S105" i="5"/>
  <c r="S152" i="5"/>
  <c r="S354" i="5"/>
  <c r="S502" i="5"/>
  <c r="S260" i="5"/>
  <c r="S519" i="5"/>
  <c r="S207" i="5"/>
  <c r="S87" i="5"/>
  <c r="S521" i="5"/>
  <c r="S171" i="5"/>
  <c r="S369" i="5"/>
  <c r="S539" i="5"/>
  <c r="S277" i="5"/>
  <c r="S280" i="5"/>
  <c r="S562" i="5"/>
  <c r="S574" i="5"/>
  <c r="S397" i="5"/>
  <c r="S554" i="5"/>
  <c r="S39" i="5"/>
  <c r="S398" i="5"/>
  <c r="S68" i="5"/>
  <c r="S194" i="5"/>
  <c r="S257" i="5"/>
  <c r="S571" i="5"/>
  <c r="S167" i="5"/>
  <c r="S253" i="5"/>
  <c r="S93" i="5"/>
  <c r="S46" i="5"/>
  <c r="S386" i="5"/>
  <c r="S506" i="5"/>
  <c r="S38" i="5"/>
  <c r="S47" i="5"/>
  <c r="S364" i="5"/>
  <c r="S58" i="5"/>
  <c r="S92" i="5"/>
  <c r="S357" i="5"/>
  <c r="S560" i="5"/>
  <c r="S281" i="5"/>
  <c r="S395" i="5"/>
  <c r="S460" i="5"/>
  <c r="S239" i="5"/>
  <c r="S445" i="5"/>
  <c r="S36"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31" i="5"/>
  <c r="S472" i="5"/>
  <c r="S492" i="5"/>
  <c r="S23"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44" i="5"/>
  <c r="S243" i="5"/>
  <c r="S406" i="5"/>
  <c r="S399" i="5"/>
  <c r="S418" i="5"/>
  <c r="S469" i="5"/>
  <c r="S498" i="5"/>
  <c r="S566" i="5"/>
  <c r="S42" i="5"/>
  <c r="S193" i="5"/>
  <c r="S232" i="5"/>
  <c r="S182" i="5"/>
  <c r="S244" i="5"/>
  <c r="S205" i="5"/>
  <c r="S459" i="5"/>
  <c r="S123" i="5"/>
  <c r="S16" i="5"/>
  <c r="S242" i="5"/>
  <c r="S532" i="5"/>
  <c r="S238" i="5"/>
  <c r="S53" i="5"/>
  <c r="S476" i="5"/>
  <c r="S500" i="5"/>
  <c r="S45" i="5"/>
  <c r="S531" i="5"/>
  <c r="S568" i="5"/>
  <c r="S134" i="5"/>
  <c r="S101" i="5"/>
  <c r="S462" i="5"/>
  <c r="S211" i="5"/>
  <c r="S578" i="5"/>
  <c r="S27" i="5"/>
  <c r="S20" i="5"/>
  <c r="S351" i="5"/>
  <c r="S542" i="5"/>
  <c r="S145" i="5"/>
  <c r="S181" i="5"/>
  <c r="S61" i="5"/>
  <c r="S21" i="5"/>
  <c r="S37" i="5"/>
  <c r="S165" i="5"/>
  <c r="S216" i="5"/>
  <c r="S212" i="5"/>
  <c r="S383" i="5"/>
  <c r="S56" i="5"/>
  <c r="S491" i="5"/>
  <c r="S62" i="5"/>
  <c r="S456" i="5"/>
  <c r="S474" i="5"/>
  <c r="S28"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25" i="5"/>
  <c r="S457" i="5"/>
  <c r="S35" i="5"/>
  <c r="S133" i="5"/>
  <c r="S14" i="5"/>
  <c r="S161" i="5"/>
  <c r="S387" i="5"/>
  <c r="S141" i="5"/>
  <c r="S378" i="5"/>
  <c r="S380" i="5"/>
  <c r="S236" i="5"/>
  <c r="S143" i="5"/>
  <c r="S196" i="5"/>
  <c r="S254" i="5"/>
  <c r="S266" i="5"/>
  <c r="S278" i="5"/>
  <c r="S363" i="5"/>
  <c r="S127" i="5"/>
  <c r="S477" i="5"/>
  <c r="S575" i="5"/>
  <c r="S89" i="5"/>
  <c r="S154" i="5"/>
  <c r="S263" i="5"/>
  <c r="S467" i="5"/>
  <c r="S32"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30" i="5"/>
  <c r="S200" i="5"/>
  <c r="S520" i="5"/>
  <c r="S197" i="5"/>
  <c r="S370" i="5"/>
  <c r="S26" i="5"/>
  <c r="S160" i="5"/>
  <c r="S246" i="5"/>
  <c r="S353" i="5"/>
  <c r="S29"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10" i="5"/>
  <c r="S9" i="5"/>
  <c r="S8" i="5"/>
  <c r="S11" i="5"/>
  <c r="S7" i="5"/>
  <c r="S6" i="5"/>
  <c r="S5" i="5"/>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<sst xmlns="http://schemas.openxmlformats.org/spreadsheetml/2006/main" count="21627" uniqueCount="15510">
  <si>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</si>
  <si>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</si>
  <si>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</si>
  <si>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</si>
  <si>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</si>
  <si>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</si>
  <si>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</si>
  <si>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</si>
  <si>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</si>
  <si>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</si>
  <si>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</si>
  <si>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</si>
  <si>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</si>
  <si>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</si>
  <si>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</si>
  <si>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</si>
  <si>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</si>
  <si>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</si>
  <si>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</si>
  <si>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</si>
  <si>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</si>
  <si>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</si>
  <si>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</si>
  <si>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</si>
  <si>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</si>
  <si>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</si>
  <si>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</si>
  <si>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</si>
  <si>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</si>
  <si>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</si>
  <si>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</si>
  <si>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</si>
  <si>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</si>
  <si>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</si>
  <si>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</si>
  <si>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</si>
  <si>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</si>
  <si>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</si>
  <si>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</si>
  <si>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</si>
  <si>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</si>
  <si>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</si>
  <si>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</si>
  <si>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</si>
  <si>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</si>
  <si>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</si>
  <si>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</si>
  <si>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</si>
  <si>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</si>
  <si>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</si>
  <si>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</si>
  <si>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</si>
  <si>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</si>
  <si>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</si>
  <si>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</si>
  <si>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</si>
  <si>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</si>
  <si>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</si>
  <si>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</si>
  <si>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</si>
  <si>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</si>
  <si>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</si>
  <si>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</si>
  <si>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</si>
  <si>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</si>
  <si>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</si>
  <si>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</si>
  <si>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</si>
  <si>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</si>
  <si>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</si>
  <si>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</si>
  <si>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</si>
  <si>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</si>
  <si>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</si>
  <si>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</si>
  <si>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</si>
  <si>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</si>
  <si>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</si>
  <si>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</si>
  <si>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</si>
  <si>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</si>
  <si>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</si>
  <si>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</si>
  <si>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</si>
  <si>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</si>
  <si>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</si>
  <si>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</si>
  <si>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</si>
  <si>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</si>
  <si>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</si>
  <si>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</si>
  <si>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</si>
  <si>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</si>
  <si>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</si>
  <si>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</si>
  <si>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</si>
  <si>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</si>
  <si>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</si>
  <si>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</si>
  <si>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</si>
  <si>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</si>
  <si>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</si>
  <si>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</si>
  <si>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</si>
  <si>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</si>
  <si>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</si>
  <si>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</si>
  <si>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</si>
  <si>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</si>
  <si>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</si>
  <si>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</si>
  <si>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</si>
  <si>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</si>
  <si>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</si>
  <si>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</si>
  <si>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</si>
  <si>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</si>
  <si>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</si>
  <si>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</si>
  <si>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</si>
  <si>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</si>
  <si>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</si>
  <si>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</si>
  <si>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</si>
  <si>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</si>
  <si>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</si>
  <si>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</si>
  <si>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</si>
  <si>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</si>
  <si>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</si>
  <si>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</si>
  <si>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</si>
  <si>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</si>
  <si>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</si>
  <si>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</si>
  <si>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</si>
  <si>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</si>
  <si>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</si>
  <si>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</si>
  <si>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</si>
  <si>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</si>
  <si>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</si>
  <si>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</si>
  <si>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</si>
  <si>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</si>
  <si>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</si>
  <si>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</si>
  <si>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</si>
  <si>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</si>
  <si>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</si>
  <si>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</si>
  <si>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</si>
  <si>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</si>
  <si>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</si>
  <si>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</si>
  <si>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</si>
  <si>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</si>
  <si>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</si>
  <si>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</si>
  <si>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</si>
  <si>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</si>
  <si>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</si>
  <si>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</si>
  <si>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</si>
  <si>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</si>
  <si>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</si>
  <si>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</si>
  <si>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</si>
  <si>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</si>
  <si>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</si>
  <si>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</si>
  <si>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</si>
  <si>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</si>
  <si>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</si>
  <si>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</si>
  <si>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</si>
  <si>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</si>
  <si>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</si>
  <si>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</si>
  <si>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</si>
  <si>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</si>
  <si>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</si>
  <si>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</si>
  <si>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</si>
  <si>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</si>
  <si>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</si>
  <si>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</si>
  <si>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</si>
  <si>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</si>
  <si>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</si>
  <si>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</si>
  <si>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</si>
  <si>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</si>
  <si>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</si>
  <si>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</si>
  <si>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</si>
  <si>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</si>
  <si>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</si>
  <si>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</si>
  <si>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</si>
  <si>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</si>
  <si>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</si>
  <si>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</si>
  <si>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</si>
  <si>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</si>
  <si>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</si>
  <si>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</si>
  <si>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</si>
  <si>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</si>
  <si>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</si>
  <si>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</si>
  <si>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</si>
  <si>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</si>
  <si>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</si>
  <si>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</si>
  <si>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</si>
  <si>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</si>
  <si>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</si>
  <si>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</si>
  <si>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</si>
  <si>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</si>
  <si>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</si>
  <si>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</si>
  <si>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</si>
  <si>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</si>
  <si>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</si>
  <si>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</si>
  <si>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</si>
  <si>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</si>
  <si>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</si>
  <si>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</si>
  <si>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</si>
  <si>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</si>
  <si>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</si>
  <si>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</si>
  <si>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</si>
  <si>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</si>
  <si>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</si>
  <si>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</si>
  <si>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</si>
  <si>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</si>
  <si>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</si>
  <si>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</si>
  <si>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</si>
  <si>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</si>
  <si>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</si>
  <si>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</si>
  <si>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</si>
  <si>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</si>
  <si>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</si>
  <si>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</si>
  <si>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</si>
  <si>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</si>
  <si>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</si>
  <si>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</si>
  <si>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</si>
  <si>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</si>
  <si>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</si>
  <si>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</si>
  <si>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</si>
  <si>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</si>
  <si>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</si>
  <si>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</si>
  <si>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</si>
  <si>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</si>
  <si>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</si>
  <si>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</si>
  <si>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</si>
  <si>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</si>
  <si>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</si>
  <si>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</si>
  <si>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</si>
  <si>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</si>
  <si>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</si>
  <si>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</si>
  <si>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</si>
  <si>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</si>
  <si>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</si>
  <si>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</si>
  <si>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</si>
  <si>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</si>
  <si>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</si>
  <si>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</si>
  <si>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</si>
  <si>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</si>
  <si>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</si>
  <si>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</si>
  <si>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</si>
  <si>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</si>
  <si>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</si>
  <si>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</si>
  <si>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</si>
  <si>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</si>
  <si>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</si>
  <si>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</si>
  <si>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</si>
  <si>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</si>
  <si>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</si>
  <si>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</si>
  <si>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</si>
  <si>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</si>
  <si>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</si>
  <si>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</si>
  <si>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</si>
  <si>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</si>
  <si>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</si>
  <si>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</si>
  <si>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</si>
  <si>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</si>
  <si>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</si>
  <si>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</si>
  <si>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</si>
  <si>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</si>
  <si>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</si>
  <si>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</si>
  <si>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</si>
  <si>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</si>
  <si>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</si>
  <si>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</si>
  <si>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</si>
  <si>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</si>
  <si>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</si>
  <si>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</si>
  <si>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</si>
  <si>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</si>
  <si>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</si>
  <si>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</si>
  <si>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</si>
  <si>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</si>
  <si>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</si>
  <si>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</si>
  <si>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</si>
  <si>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</si>
  <si>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</si>
  <si>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</si>
  <si>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</si>
  <si>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</si>
  <si>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</si>
  <si>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</si>
  <si>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</si>
  <si>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</si>
  <si>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</si>
  <si>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</si>
  <si>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</si>
  <si>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</si>
  <si>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</si>
  <si>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</si>
  <si>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</si>
  <si>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</si>
  <si>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</si>
  <si>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</si>
  <si>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</si>
  <si>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</si>
  <si>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</si>
  <si>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</si>
  <si>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</si>
  <si>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</si>
  <si>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</si>
  <si>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</si>
  <si>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</si>
  <si>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</si>
  <si>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</si>
  <si>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</si>
  <si>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</si>
  <si>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</si>
  <si>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</si>
  <si>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</si>
  <si>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</si>
  <si>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</si>
  <si>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</si>
  <si>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</si>
  <si>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</si>
  <si>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</si>
  <si>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</si>
  <si>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</si>
  <si>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</si>
  <si>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</si>
  <si>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</si>
  <si>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</si>
  <si>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</si>
  <si>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</si>
  <si>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</si>
  <si>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</si>
  <si>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</si>
  <si>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</si>
  <si>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</si>
  <si>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</si>
  <si>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</si>
  <si>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</si>
  <si>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</si>
  <si>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</si>
  <si>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</si>
  <si>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</si>
  <si>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</si>
  <si>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</si>
  <si>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</si>
  <si>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</si>
  <si>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</si>
  <si>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</si>
  <si>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</si>
  <si>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</si>
  <si>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</si>
  <si>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</si>
  <si>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</si>
  <si>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</si>
  <si>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</si>
  <si>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</si>
  <si>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</si>
  <si>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</si>
  <si>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</si>
  <si>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</si>
  <si>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</si>
  <si>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</si>
  <si>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</si>
  <si>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</si>
  <si>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</si>
  <si>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</si>
  <si>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</si>
  <si>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</si>
  <si>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</si>
  <si>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</si>
  <si>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</si>
  <si>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</si>
  <si>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</si>
  <si>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</si>
  <si>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</si>
  <si>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</si>
  <si>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</si>
  <si>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</si>
  <si>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</si>
  <si>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</si>
  <si>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</si>
  <si>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</si>
  <si>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</si>
  <si>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</si>
  <si>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</si>
  <si>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</si>
  <si>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</si>
  <si>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</si>
  <si>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</si>
  <si>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</si>
  <si>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</si>
  <si>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</si>
  <si>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</si>
  <si>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</si>
  <si>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</si>
  <si>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</si>
  <si>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</si>
  <si>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</si>
  <si>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</si>
  <si>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</si>
  <si>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</si>
  <si>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</si>
  <si>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</si>
  <si>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</si>
  <si>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</si>
  <si>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</si>
  <si>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</si>
  <si>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</si>
  <si>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</si>
  <si>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</si>
  <si>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</si>
  <si>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</si>
  <si>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</si>
  <si>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</si>
  <si>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</si>
  <si>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</si>
  <si>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</si>
  <si>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</si>
  <si>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</si>
  <si>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</si>
  <si>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</si>
  <si>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</si>
  <si>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</si>
  <si>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</si>
  <si>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</si>
  <si>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</si>
  <si>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</si>
  <si>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</si>
  <si>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</si>
  <si>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</si>
  <si>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</si>
  <si>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</si>
  <si>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</si>
  <si>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</si>
  <si>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</si>
  <si>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</si>
  <si>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</si>
  <si>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</si>
  <si>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</si>
  <si>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</si>
  <si>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</si>
  <si>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</si>
  <si>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</si>
  <si>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</si>
  <si>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</si>
  <si>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</si>
  <si>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</si>
  <si>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</si>
  <si>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</si>
  <si>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</si>
  <si>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</si>
  <si>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</si>
  <si>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</si>
  <si>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</si>
  <si>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</si>
  <si>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</si>
  <si>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</si>
  <si>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</si>
  <si>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</si>
  <si>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</si>
  <si>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</si>
  <si>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</si>
  <si>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</si>
  <si>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</si>
  <si>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</si>
  <si>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</si>
  <si>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</si>
  <si>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</si>
  <si>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</si>
  <si>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</si>
  <si>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</si>
  <si>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</si>
  <si>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</si>
  <si>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</si>
  <si>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</si>
  <si>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</si>
  <si>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</si>
  <si>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</si>
  <si>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</si>
  <si>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</si>
  <si>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</si>
  <si>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</si>
  <si>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</si>
  <si>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</si>
  <si>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</si>
  <si>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</si>
  <si>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</si>
  <si>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</si>
  <si>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</si>
  <si>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</si>
  <si>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</si>
  <si>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</si>
  <si>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</si>
  <si>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</si>
  <si>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</si>
  <si>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</si>
  <si>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</si>
  <si>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</si>
  <si>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</si>
  <si>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</si>
  <si>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</si>
  <si>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</si>
  <si>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</si>
  <si>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</si>
  <si>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</si>
  <si>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</si>
  <si>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</si>
  <si>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</si>
  <si>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</si>
  <si>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</si>
  <si>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</si>
  <si>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</si>
  <si>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</si>
  <si>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</si>
  <si>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</si>
  <si>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</si>
  <si>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</si>
  <si>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</si>
  <si>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</si>
  <si>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</si>
  <si>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</si>
  <si>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</si>
  <si>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</si>
  <si>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</si>
  <si>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</si>
  <si>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</si>
  <si>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</si>
  <si>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</si>
  <si>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</si>
  <si>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</si>
  <si>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</si>
  <si>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</si>
  <si>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</si>
  <si>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</si>
  <si>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</si>
  <si>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</si>
  <si>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</si>
  <si>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</si>
  <si>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</si>
  <si>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</si>
  <si>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</si>
  <si>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</si>
  <si>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</si>
  <si>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</si>
  <si>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</si>
  <si>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</si>
  <si>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</si>
  <si>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</si>
  <si>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</si>
  <si>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</si>
  <si>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</si>
  <si>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</si>
  <si>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</si>
  <si>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</si>
  <si>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</si>
  <si>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</si>
  <si>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</si>
  <si>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</si>
  <si>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</si>
  <si>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</si>
  <si>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</si>
  <si>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</si>
  <si>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</si>
  <si>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</si>
  <si>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</si>
  <si>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</si>
  <si>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</si>
  <si>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</si>
  <si>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</si>
  <si>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</si>
  <si>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</si>
  <si>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</si>
  <si>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</si>
  <si>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</si>
  <si>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</si>
  <si>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</si>
  <si>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</si>
  <si>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</si>
  <si>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</si>
  <si>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</si>
  <si>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</si>
  <si>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</si>
  <si>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</si>
  <si>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</si>
  <si>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</si>
  <si>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</si>
  <si>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</si>
  <si>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</si>
  <si>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</si>
  <si>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</si>
  <si>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</si>
  <si>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</si>
  <si>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</si>
  <si>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</si>
  <si>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</si>
  <si>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</si>
  <si>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</si>
  <si>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</si>
  <si>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</si>
  <si>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</si>
  <si>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</si>
  <si>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</si>
  <si>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</si>
  <si>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</si>
  <si>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</si>
  <si>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</si>
  <si>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</si>
  <si>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</si>
  <si>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</si>
  <si>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</si>
  <si>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</si>
  <si>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</si>
  <si>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</si>
  <si>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</si>
  <si>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</si>
  <si>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</si>
  <si>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</si>
  <si>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</si>
  <si>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</si>
  <si>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</si>
  <si>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</si>
  <si>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</si>
  <si>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</si>
  <si>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</si>
  <si>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</si>
  <si>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</si>
  <si>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</si>
  <si>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</si>
  <si>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</si>
  <si>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</si>
  <si>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</si>
  <si>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</si>
  <si>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</si>
  <si>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</si>
  <si>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</si>
  <si>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</si>
  <si>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</si>
  <si>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</si>
  <si>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</si>
  <si>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</si>
  <si>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</si>
  <si>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</si>
  <si>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</si>
  <si>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</si>
  <si>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</si>
  <si>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</si>
  <si>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</si>
  <si>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</si>
  <si>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</si>
  <si>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</si>
  <si>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</si>
  <si>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</si>
  <si>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</si>
  <si>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</si>
  <si>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</si>
  <si>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</si>
  <si>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</si>
  <si>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</si>
  <si>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</si>
  <si>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</si>
  <si>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</si>
  <si>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</si>
  <si>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</si>
  <si>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</si>
  <si>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</si>
  <si>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</si>
  <si>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</si>
  <si>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</si>
  <si>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</si>
  <si>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</si>
  <si>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</si>
  <si>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</si>
  <si>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</si>
  <si>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</si>
  <si>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</si>
  <si>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</si>
  <si>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</si>
  <si>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</si>
  <si>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</si>
  <si>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</si>
  <si>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</si>
  <si>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</si>
  <si>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</si>
  <si>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</si>
  <si>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</si>
  <si>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</si>
  <si>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</si>
  <si>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</si>
  <si>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</si>
  <si>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</si>
  <si>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</si>
  <si>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</si>
  <si>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</si>
  <si>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</si>
  <si>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</si>
  <si>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</si>
  <si>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</si>
  <si>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</si>
  <si>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</si>
  <si>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</si>
  <si>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</si>
  <si>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</si>
  <si>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</si>
  <si>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</si>
  <si>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</si>
  <si>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</si>
  <si>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</si>
  <si>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</si>
  <si>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</si>
  <si>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</si>
  <si>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</si>
  <si>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</si>
  <si>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</si>
  <si>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</si>
  <si>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</si>
  <si>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</si>
  <si>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</si>
  <si>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</si>
  <si>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</si>
  <si>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</si>
  <si>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</si>
  <si>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</si>
  <si>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</si>
  <si>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</si>
  <si>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</si>
  <si>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</si>
  <si>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</si>
  <si>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</si>
  <si>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</si>
  <si>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</si>
  <si>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</si>
  <si>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</si>
  <si>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</si>
  <si>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</si>
  <si>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</si>
  <si>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</si>
  <si>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</si>
  <si>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</si>
  <si>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</si>
  <si>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</si>
  <si>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</si>
  <si>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</si>
  <si>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</si>
  <si>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</si>
  <si>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</si>
  <si>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</si>
  <si>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</si>
  <si>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</si>
  <si>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</si>
  <si>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</si>
  <si>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</si>
  <si>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</si>
  <si>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</si>
  <si>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</si>
  <si>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</si>
  <si>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</si>
  <si>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</si>
  <si>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</si>
  <si>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</si>
  <si>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</si>
  <si>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</si>
  <si>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</si>
  <si>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</si>
  <si>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</si>
  <si>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</si>
  <si>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</si>
  <si>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</si>
  <si>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</si>
  <si>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</si>
  <si>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</si>
  <si>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</si>
  <si>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</si>
  <si>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</si>
  <si>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</si>
  <si>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</si>
  <si>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</si>
  <si>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</si>
  <si>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</si>
  <si>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</si>
  <si>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</si>
  <si>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</si>
  <si>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</si>
  <si>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</si>
  <si>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</si>
  <si>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</si>
  <si>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</si>
  <si>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</si>
  <si>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</si>
  <si>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</si>
  <si>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</si>
  <si>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</si>
  <si>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</si>
  <si>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</si>
  <si>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</si>
  <si>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</si>
  <si>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</si>
  <si>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</si>
  <si>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</si>
  <si>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</si>
  <si>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</si>
  <si>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</si>
  <si>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</si>
  <si>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</si>
  <si>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</si>
  <si>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</si>
  <si>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</si>
  <si>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</si>
  <si>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</si>
  <si>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</si>
  <si>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</si>
  <si>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</si>
  <si>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</si>
  <si>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</si>
  <si>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</si>
  <si>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</si>
  <si>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</si>
  <si>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</si>
  <si>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</si>
  <si>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</si>
  <si>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</si>
  <si>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</si>
  <si>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</si>
  <si>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</si>
  <si>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</si>
  <si>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</si>
  <si>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</si>
  <si>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</si>
  <si>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</si>
  <si>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</si>
  <si>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</si>
  <si>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</si>
  <si>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</si>
  <si>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</si>
  <si>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</si>
  <si>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</si>
  <si>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</si>
  <si>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</si>
  <si>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</si>
  <si>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</si>
  <si>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</si>
  <si>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</si>
  <si>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</si>
  <si>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</si>
  <si>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</si>
  <si>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</si>
  <si>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</si>
  <si>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</si>
  <si>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</si>
  <si>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</si>
  <si>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</si>
  <si>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</si>
  <si>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</si>
  <si>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</si>
  <si>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</si>
  <si>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</si>
  <si>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</si>
  <si>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</si>
  <si>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</si>
  <si>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</si>
  <si>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</si>
  <si>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</si>
  <si>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</si>
  <si>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</si>
  <si>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</si>
  <si>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</si>
  <si>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</si>
  <si>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</si>
  <si>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</si>
  <si>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</si>
  <si>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</si>
  <si>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</si>
  <si>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</si>
  <si>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</si>
  <si>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</si>
  <si>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</si>
  <si>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</si>
  <si>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</si>
  <si>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</si>
  <si>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</si>
  <si>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</si>
  <si>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</si>
  <si>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</si>
  <si>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</si>
  <si>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</si>
  <si>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</si>
  <si>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</si>
  <si>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</si>
  <si>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</si>
  <si>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</si>
  <si>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</si>
  <si>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</si>
  <si>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</si>
  <si>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</si>
  <si>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</si>
  <si>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</si>
  <si>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</si>
  <si>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</si>
  <si>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</si>
  <si>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</si>
  <si>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</si>
  <si>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</si>
  <si>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</si>
  <si>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</si>
  <si>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</si>
  <si>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</si>
  <si>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</si>
  <si>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</si>
  <si>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</si>
  <si>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</si>
  <si>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</si>
  <si>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</si>
  <si>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</si>
  <si>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</si>
  <si>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</si>
  <si>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</si>
  <si>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</si>
  <si>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</si>
  <si>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</si>
  <si>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</si>
  <si>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</si>
  <si>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</si>
  <si>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</si>
  <si>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</si>
  <si>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</si>
  <si>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</si>
  <si>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</si>
  <si>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</si>
  <si>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</si>
  <si>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</si>
  <si>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</si>
  <si>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</si>
  <si>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</si>
  <si>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</si>
  <si>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</si>
  <si>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</si>
  <si>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</si>
  <si>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</si>
  <si>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</si>
  <si>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</si>
  <si>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</si>
  <si>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</si>
  <si>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</si>
  <si>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</si>
  <si>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</si>
  <si>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</si>
  <si>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</si>
  <si>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</si>
  <si>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</si>
  <si>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</si>
  <si>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</si>
  <si>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</si>
  <si>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</si>
  <si>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</si>
  <si>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</si>
  <si>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</si>
  <si>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</si>
  <si>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</si>
  <si>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</si>
  <si>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</si>
  <si>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</si>
  <si>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</si>
  <si>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</si>
  <si>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</si>
  <si>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</si>
  <si>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</si>
  <si>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</si>
  <si>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</si>
  <si>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</si>
  <si>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</si>
  <si>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</si>
  <si>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</si>
  <si>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</si>
  <si>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</si>
  <si>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</si>
  <si>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</si>
  <si>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</si>
  <si>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</si>
  <si>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</si>
  <si>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</si>
  <si>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</si>
  <si>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</si>
  <si>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</si>
  <si>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</si>
  <si>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</si>
  <si>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</si>
  <si>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</si>
  <si>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</si>
  <si>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</si>
  <si>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</si>
  <si>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</si>
  <si>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</si>
  <si>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</si>
  <si>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</si>
  <si>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</si>
  <si>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</si>
  <si>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</si>
  <si>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</si>
  <si>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</si>
  <si>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</si>
  <si>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</si>
  <si>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</si>
  <si>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</si>
  <si>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</si>
  <si>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</si>
  <si>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</si>
  <si>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</si>
  <si>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</si>
  <si>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</si>
  <si>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</si>
  <si>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</si>
  <si>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</si>
  <si>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</si>
  <si>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</si>
  <si>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</si>
  <si>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</si>
  <si>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</si>
  <si>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</si>
  <si>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</si>
  <si>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</si>
  <si>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</si>
  <si>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</si>
  <si>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</si>
  <si>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</si>
  <si>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</si>
  <si>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</si>
  <si>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</si>
  <si>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</si>
  <si>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</si>
  <si>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</si>
  <si>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</si>
  <si>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</si>
  <si>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</si>
  <si>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</si>
  <si>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</si>
  <si>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</si>
  <si>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</si>
  <si>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</si>
  <si>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</si>
  <si>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</si>
  <si>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</si>
  <si>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</si>
  <si>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</si>
  <si>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</si>
  <si>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</si>
  <si>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</si>
  <si>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</si>
  <si>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</si>
  <si>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</si>
  <si>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</si>
  <si>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</si>
  <si>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</si>
  <si>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</si>
  <si>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</si>
  <si>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</si>
  <si>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</si>
  <si>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</si>
  <si>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</si>
  <si>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</si>
  <si>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</si>
  <si>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</si>
  <si>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</si>
  <si>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</si>
  <si>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</si>
  <si>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</si>
  <si>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</si>
  <si>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</si>
  <si>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</si>
  <si>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</si>
  <si>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</si>
  <si>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</si>
  <si>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</si>
  <si>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</si>
  <si>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</si>
  <si>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</si>
  <si>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</si>
  <si>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</si>
  <si>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</si>
  <si>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</si>
  <si>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</si>
  <si>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</si>
  <si>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</si>
  <si>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</si>
  <si>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</si>
  <si>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</si>
  <si>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</si>
  <si>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</si>
  <si>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</si>
  <si>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</si>
  <si>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</si>
  <si>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</si>
  <si>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</si>
  <si>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</si>
  <si>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</si>
  <si>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</si>
  <si>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</si>
  <si>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</si>
  <si>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</si>
  <si>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</si>
  <si>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</si>
  <si>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</si>
  <si>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</si>
  <si>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</si>
  <si>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</si>
  <si>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</si>
  <si>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</si>
  <si>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</si>
  <si>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</si>
  <si>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</si>
  <si>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</si>
  <si>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</si>
  <si>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</si>
  <si>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</si>
  <si>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</si>
  <si>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</si>
  <si>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</si>
  <si>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</si>
  <si>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</si>
  <si>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</si>
  <si>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</si>
  <si>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</si>
  <si>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</si>
  <si>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</si>
  <si>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</si>
  <si>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</si>
  <si>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</si>
  <si>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</si>
  <si>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</si>
  <si>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</si>
  <si>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</si>
  <si>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</si>
  <si>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</si>
  <si>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</si>
  <si>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</si>
  <si>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</si>
  <si>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</si>
  <si>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</si>
  <si>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</si>
  <si>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</si>
  <si>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</si>
  <si>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</si>
  <si>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</si>
  <si>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</si>
  <si>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</si>
  <si>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</si>
  <si>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</si>
  <si>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</si>
  <si>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</si>
  <si>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</si>
  <si>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</si>
  <si>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</si>
  <si>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</si>
  <si>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</si>
  <si>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</si>
  <si>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</si>
  <si>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</si>
  <si>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</si>
  <si>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</si>
  <si>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</si>
  <si>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</si>
  <si>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</si>
  <si>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</si>
  <si>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</si>
  <si>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</si>
  <si>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</si>
  <si>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</si>
  <si>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</si>
  <si>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</si>
  <si>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</si>
  <si>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</si>
  <si>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</si>
  <si>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</si>
  <si>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</si>
  <si>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</si>
  <si>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</si>
  <si>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</si>
  <si>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</si>
  <si>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</si>
  <si>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</si>
  <si>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</si>
  <si>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</si>
  <si>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</si>
  <si>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</si>
  <si>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</si>
  <si>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</si>
  <si>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</si>
  <si>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</si>
  <si>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</si>
  <si>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</si>
  <si>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</si>
  <si>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</si>
  <si>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</si>
  <si>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</si>
  <si>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</si>
  <si>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</si>
  <si>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</si>
  <si>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</si>
  <si>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</si>
  <si>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</si>
  <si>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</si>
  <si>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</si>
  <si>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</si>
  <si>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</si>
  <si>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</si>
  <si>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</si>
  <si>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</si>
  <si>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</si>
  <si>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</si>
  <si>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</si>
  <si>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</si>
  <si>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</si>
  <si>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</si>
  <si>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</si>
  <si>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</si>
  <si>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</si>
  <si>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</si>
  <si>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</si>
  <si>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</si>
  <si>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</si>
  <si>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</si>
  <si>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</si>
  <si>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</si>
  <si>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</si>
  <si>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</si>
  <si>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</si>
  <si>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</si>
  <si>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</si>
  <si>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</si>
  <si>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</si>
  <si>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</si>
  <si>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</si>
  <si>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</si>
  <si>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</si>
  <si>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</si>
  <si>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</si>
  <si>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</si>
  <si>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</si>
  <si>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</si>
  <si>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</si>
  <si>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</si>
  <si>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</si>
  <si>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</si>
  <si>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</si>
  <si>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</si>
  <si>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</si>
  <si>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</si>
  <si>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</si>
  <si>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</si>
  <si>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</si>
  <si>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</si>
  <si>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</si>
  <si>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</si>
  <si>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</si>
  <si>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</si>
  <si>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</si>
  <si>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</si>
  <si>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</si>
  <si>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</si>
  <si>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</si>
  <si>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</si>
  <si>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</si>
  <si>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</si>
  <si>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</si>
  <si>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</si>
  <si>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</si>
  <si>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</si>
  <si>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</si>
  <si>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</si>
  <si>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</si>
  <si>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</si>
  <si>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</si>
  <si>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</si>
  <si>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</si>
  <si>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</si>
  <si>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</si>
  <si>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</si>
  <si>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</si>
  <si>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</si>
  <si>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</si>
  <si>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</si>
  <si>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</si>
  <si>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</si>
  <si>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</si>
  <si>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</si>
  <si>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</si>
  <si>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</si>
  <si>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</si>
  <si>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</si>
  <si>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</si>
  <si>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</si>
  <si>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</si>
  <si>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</si>
  <si>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</si>
  <si>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</si>
  <si>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</si>
  <si>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</si>
  <si>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</si>
  <si>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</si>
  <si>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</si>
  <si>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</si>
  <si>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</si>
  <si>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</si>
  <si>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</si>
  <si>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</si>
  <si>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</si>
  <si>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</si>
  <si>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</si>
  <si>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</si>
  <si>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</si>
  <si>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</si>
  <si>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</si>
  <si>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</si>
  <si>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</si>
  <si>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</si>
  <si>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</si>
  <si>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</si>
  <si>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</si>
  <si>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</si>
  <si>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</si>
  <si>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</si>
  <si>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</si>
  <si>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</si>
  <si>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</si>
  <si>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</si>
  <si>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</si>
  <si>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</si>
  <si>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</si>
  <si>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</si>
  <si>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</si>
  <si>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</si>
  <si>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</si>
  <si>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</si>
  <si>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</si>
  <si>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</si>
  <si>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</si>
  <si>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</si>
  <si>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</si>
  <si>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</si>
  <si>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</si>
  <si>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</si>
  <si>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</si>
  <si>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</si>
  <si>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</si>
  <si>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</si>
  <si>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</si>
  <si>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</si>
  <si>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</si>
  <si>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</si>
  <si>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</si>
  <si>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</si>
  <si>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</si>
  <si>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</si>
  <si>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</si>
  <si>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</si>
  <si>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</si>
  <si>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</si>
  <si>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</si>
  <si>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</si>
  <si>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</si>
  <si>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</si>
  <si>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</si>
  <si>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</si>
  <si>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</si>
  <si>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</si>
  <si>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</si>
  <si>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</si>
  <si>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</si>
  <si>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</si>
  <si>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</si>
  <si>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</si>
  <si>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</si>
  <si>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</si>
  <si>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</si>
  <si>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</si>
  <si>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</si>
  <si>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</si>
  <si>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</si>
  <si>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</si>
  <si>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</si>
  <si>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</si>
  <si>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</si>
  <si>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</si>
  <si>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</si>
  <si>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</si>
  <si>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</si>
  <si>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</si>
  <si>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</si>
  <si>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</si>
  <si>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</si>
  <si>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</si>
  <si>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</si>
  <si>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</si>
  <si>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</si>
  <si>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</si>
  <si>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</si>
  <si>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</si>
  <si>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</si>
  <si>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</si>
  <si>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</si>
  <si>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</si>
  <si>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</si>
  <si>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</si>
  <si>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</si>
  <si>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</si>
  <si>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</si>
  <si>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</si>
  <si>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</si>
  <si>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</si>
  <si>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</si>
  <si>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</si>
  <si>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</si>
  <si>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</si>
  <si>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</si>
  <si>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</si>
  <si>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</si>
  <si>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</si>
  <si>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</si>
  <si>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</si>
  <si>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</si>
  <si>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</si>
  <si>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</si>
  <si>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</si>
  <si>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</si>
  <si>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</si>
  <si>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</si>
  <si>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</si>
  <si>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</si>
  <si>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</si>
  <si>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</si>
  <si>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</si>
  <si>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</si>
  <si>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</si>
  <si>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</si>
  <si>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</si>
  <si>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</si>
  <si>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</si>
  <si>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</si>
  <si>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</si>
  <si>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</si>
  <si>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</si>
  <si>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</si>
  <si>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</si>
  <si>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</si>
  <si>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</si>
  <si>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</si>
  <si>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</si>
  <si>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</si>
  <si>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</si>
  <si>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</si>
  <si>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</si>
  <si>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</si>
  <si>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</si>
  <si>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</si>
  <si>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</si>
  <si>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</si>
  <si>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</si>
  <si>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</si>
  <si>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</si>
  <si>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</si>
  <si>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</si>
  <si>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</si>
  <si>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</si>
  <si>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</si>
  <si>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</si>
  <si>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</si>
  <si>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</si>
  <si>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</si>
  <si>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</si>
  <si>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</si>
  <si>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</si>
  <si>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</si>
  <si>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</si>
  <si>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</si>
  <si>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</si>
  <si>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</si>
  <si>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</si>
  <si>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</si>
  <si>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</si>
  <si>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</si>
  <si>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</si>
  <si>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</si>
  <si>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</si>
  <si>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</si>
  <si>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</si>
  <si>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</si>
  <si>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</si>
  <si>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</si>
  <si>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</si>
  <si>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</si>
  <si>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</si>
  <si>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</si>
  <si>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</si>
  <si>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</si>
  <si>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</si>
  <si>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</si>
  <si>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</si>
  <si>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</si>
  <si>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</si>
  <si>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</si>
  <si>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</si>
  <si>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</si>
  <si>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</si>
  <si>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</si>
  <si>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</si>
  <si>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</si>
  <si>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</si>
  <si>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</si>
  <si>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</si>
  <si>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</si>
  <si>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</si>
  <si>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</si>
  <si>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</si>
  <si>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</si>
  <si>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</si>
  <si>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</si>
  <si>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</si>
  <si>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</si>
  <si>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</si>
  <si>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</si>
  <si>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</si>
  <si>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</si>
  <si>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</si>
  <si>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</si>
  <si>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</si>
  <si>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</si>
  <si>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</si>
  <si>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</si>
  <si>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</si>
  <si>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</si>
  <si>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</si>
  <si>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</si>
  <si>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</si>
  <si>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</si>
  <si>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</si>
  <si>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</si>
  <si>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</si>
  <si>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</si>
  <si>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</si>
  <si>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</si>
  <si>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</si>
  <si>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</si>
  <si>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</si>
  <si>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</si>
  <si>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</si>
  <si>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</si>
  <si>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</si>
  <si>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</si>
  <si>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</si>
  <si>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</si>
  <si>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</si>
  <si>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</si>
  <si>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</si>
  <si>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</si>
  <si>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</si>
  <si>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</si>
  <si>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</si>
  <si>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</si>
  <si>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</si>
  <si>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</si>
  <si>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</si>
  <si>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</si>
  <si>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</si>
  <si>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</si>
  <si>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</si>
  <si>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</si>
  <si>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</si>
  <si>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</si>
  <si>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</si>
  <si>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</si>
  <si>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</si>
  <si>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</si>
  <si>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</si>
  <si>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</si>
  <si>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</si>
  <si>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</si>
  <si>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</si>
  <si>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</si>
  <si>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</si>
  <si>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</si>
  <si>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</si>
  <si>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</si>
  <si>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</si>
  <si>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</si>
  <si>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</si>
  <si>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</si>
  <si>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</si>
  <si>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</si>
  <si>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</si>
  <si>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</si>
  <si>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</si>
  <si>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</si>
  <si>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</si>
  <si>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</si>
  <si>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</si>
  <si>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</si>
  <si>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</si>
  <si>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</si>
  <si>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</si>
  <si>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</si>
  <si>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</si>
  <si>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</si>
  <si>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</si>
  <si>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</si>
  <si>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</si>
  <si>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</si>
  <si>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</si>
  <si>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</si>
  <si>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</si>
  <si>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</si>
  <si>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</si>
  <si>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</si>
  <si>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</si>
  <si>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</si>
  <si>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</si>
  <si>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</si>
  <si>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</si>
  <si>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</si>
  <si>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</si>
  <si>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</si>
  <si>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</si>
  <si>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</si>
  <si>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</si>
  <si>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</si>
  <si>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</si>
  <si>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</si>
  <si>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</si>
  <si>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</si>
  <si>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</si>
  <si>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</si>
  <si>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</si>
  <si>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</si>
  <si>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</si>
  <si>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</si>
  <si>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</si>
  <si>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</si>
  <si>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</si>
  <si>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</si>
  <si>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</si>
  <si>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</si>
  <si>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</si>
  <si>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</si>
  <si>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</si>
  <si>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</si>
  <si>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</si>
  <si>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</si>
  <si>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</si>
  <si>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</si>
  <si>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</si>
  <si>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</si>
  <si>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</si>
  <si>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</si>
  <si>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</si>
  <si>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</si>
  <si>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</si>
  <si>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</si>
  <si>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</si>
  <si>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</si>
  <si>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</si>
  <si>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</si>
  <si>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</si>
  <si>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</si>
  <si>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</si>
  <si>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</si>
  <si>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</si>
  <si>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</si>
  <si>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</si>
  <si>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</si>
  <si>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</si>
  <si>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</si>
  <si>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</si>
  <si>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</si>
  <si>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</si>
  <si>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</si>
  <si>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</si>
  <si>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</si>
  <si>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</si>
  <si>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</si>
  <si>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</si>
  <si>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</si>
  <si>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</si>
  <si>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</si>
  <si>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</si>
  <si>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</si>
  <si>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</si>
  <si>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</si>
  <si>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</si>
  <si>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</si>
  <si>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</si>
  <si>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</si>
  <si>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</si>
  <si>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</si>
  <si>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</si>
  <si>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</si>
  <si>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</si>
  <si>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</si>
  <si>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</si>
  <si>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</si>
  <si>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</si>
  <si>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</si>
  <si>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</si>
  <si>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</si>
  <si>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</si>
  <si>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</si>
  <si>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</si>
  <si>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</si>
  <si>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</si>
  <si>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</si>
  <si>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</si>
  <si>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</si>
  <si>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</si>
  <si>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</si>
  <si>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</si>
  <si>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</si>
  <si>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</si>
  <si>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</si>
  <si>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</si>
  <si>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</si>
  <si>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</si>
  <si>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</si>
  <si>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</si>
  <si>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</si>
  <si>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</si>
  <si>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</si>
  <si>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</si>
  <si>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</si>
  <si>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</si>
  <si>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</si>
  <si>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</si>
  <si>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</si>
  <si>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</si>
  <si>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</si>
  <si>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</si>
  <si>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</si>
  <si>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</si>
  <si>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</si>
  <si>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</si>
  <si>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</si>
  <si>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</si>
  <si>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</si>
  <si>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</si>
  <si>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</si>
  <si>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</si>
  <si>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</si>
  <si>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</si>
  <si>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</si>
  <si>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</si>
  <si>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</si>
  <si>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</si>
  <si>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</si>
  <si>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</si>
  <si>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</si>
  <si>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</si>
  <si>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</si>
  <si>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</si>
  <si>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</si>
  <si>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</si>
  <si>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</si>
  <si>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</si>
  <si>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</si>
  <si>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</si>
  <si>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</si>
  <si>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</si>
  <si>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</si>
  <si>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</si>
  <si>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</si>
  <si>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</si>
  <si>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</si>
  <si>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</si>
  <si>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</si>
  <si>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</si>
  <si>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</si>
  <si>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</si>
  <si>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</si>
  <si>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</si>
  <si>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</si>
  <si>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</si>
  <si>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</si>
  <si>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</si>
  <si>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</si>
  <si>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</si>
  <si>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</si>
  <si>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</si>
  <si>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</si>
  <si>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</si>
  <si>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</si>
  <si>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</si>
  <si>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</si>
  <si>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</si>
  <si>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</si>
  <si>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</si>
  <si>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</si>
  <si>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</si>
  <si>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</si>
  <si>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</si>
  <si>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</si>
  <si>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</si>
  <si>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</si>
  <si>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</si>
  <si>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</si>
  <si>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</si>
  <si>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</si>
  <si>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</si>
  <si>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</si>
  <si>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</si>
  <si>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</si>
  <si>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</si>
  <si>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</si>
  <si>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</si>
  <si>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</si>
  <si>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</si>
  <si>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</si>
  <si>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</si>
  <si>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</si>
  <si>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</si>
  <si>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</si>
  <si>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</si>
  <si>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</si>
  <si>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</si>
  <si>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</si>
  <si>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</si>
  <si>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</si>
  <si>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</si>
  <si>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</si>
  <si>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</si>
  <si>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</si>
  <si>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</si>
  <si>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</si>
  <si>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</si>
  <si>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</si>
  <si>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</si>
  <si>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</si>
  <si>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</si>
  <si>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</si>
  <si>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</si>
  <si>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</si>
  <si>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</si>
  <si>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</si>
  <si>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</si>
  <si>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</si>
  <si>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</si>
  <si>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</si>
  <si>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</si>
  <si>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</si>
  <si>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</si>
  <si>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</si>
  <si>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</si>
  <si>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</si>
  <si>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</si>
  <si>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</si>
  <si>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</si>
  <si>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</si>
  <si>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</si>
  <si>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</si>
  <si>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</si>
  <si>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</si>
  <si>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</si>
  <si>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</si>
  <si>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</si>
  <si>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</si>
  <si>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</si>
  <si>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</si>
  <si>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</si>
  <si>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</si>
  <si>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</si>
  <si>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</si>
  <si>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</si>
  <si>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</si>
  <si>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</si>
  <si>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</si>
  <si>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</si>
  <si>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</si>
  <si>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</si>
  <si>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</si>
  <si>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</si>
  <si>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</si>
  <si>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</si>
  <si>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</si>
  <si>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</si>
  <si>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</si>
  <si>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</si>
  <si>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</si>
  <si>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</si>
  <si>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</si>
  <si>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</si>
  <si>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</si>
  <si>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</si>
  <si>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</si>
  <si>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</si>
  <si>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</si>
  <si>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</si>
  <si>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</si>
  <si>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</si>
  <si>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</si>
  <si>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</si>
  <si>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</si>
  <si>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</si>
  <si>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</si>
  <si>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</si>
  <si>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</si>
  <si>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</si>
  <si>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</si>
  <si>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</si>
  <si>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</si>
  <si>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</si>
  <si>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</si>
  <si>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</si>
  <si>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</si>
  <si>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</si>
  <si>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</si>
  <si>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</si>
  <si>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</si>
  <si>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</si>
  <si>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</si>
  <si>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</si>
  <si>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</si>
  <si>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</si>
  <si>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</si>
  <si>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</si>
  <si>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</si>
  <si>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</si>
  <si>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</si>
  <si>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</si>
  <si>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</si>
  <si>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</si>
  <si>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</si>
  <si>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</si>
  <si>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</si>
  <si>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</si>
  <si>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</si>
  <si>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</si>
  <si>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</si>
  <si>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</si>
  <si>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</si>
  <si>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</si>
  <si>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</si>
  <si>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</si>
  <si>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</si>
  <si>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</si>
  <si>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</si>
  <si>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</si>
  <si>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</si>
  <si>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</si>
  <si>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</si>
  <si>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</si>
  <si>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</si>
  <si>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</si>
  <si>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</si>
  <si>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</si>
  <si>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</si>
  <si>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</si>
  <si>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</si>
  <si>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</si>
  <si>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</si>
  <si>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</si>
  <si>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</si>
  <si>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</si>
  <si>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</si>
  <si>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</si>
  <si>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</si>
  <si>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</si>
  <si>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</si>
  <si>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</si>
  <si>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</si>
  <si>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</si>
  <si>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</si>
  <si>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</si>
  <si>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</si>
  <si>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</si>
  <si>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</si>
  <si>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</si>
  <si>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</si>
  <si>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</si>
  <si>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</si>
  <si>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</si>
  <si>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</si>
  <si>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</si>
  <si>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</si>
  <si>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</si>
  <si>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</si>
  <si>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</si>
  <si>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</si>
  <si>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</si>
  <si>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</si>
  <si>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</si>
  <si>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</si>
  <si>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</si>
  <si>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</si>
  <si>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</si>
  <si>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</si>
  <si>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</si>
  <si>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</si>
  <si>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</si>
  <si>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</si>
  <si>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</si>
  <si>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</si>
  <si>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</si>
  <si>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</si>
  <si>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</si>
  <si>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</si>
  <si>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</si>
  <si>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</si>
  <si>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</si>
  <si>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</si>
  <si>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</si>
  <si>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</si>
  <si>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</si>
  <si>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</si>
  <si>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</si>
  <si>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</si>
  <si>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</si>
  <si>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</si>
  <si>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</si>
  <si>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</si>
  <si>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</si>
  <si>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</si>
  <si>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</si>
  <si>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</si>
  <si>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</si>
  <si>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</si>
  <si>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</si>
  <si>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</si>
  <si>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</si>
  <si>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</si>
  <si>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</si>
  <si>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</si>
  <si>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</si>
  <si>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</si>
  <si>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</si>
  <si>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</si>
  <si>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</si>
  <si>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</si>
  <si>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</si>
  <si>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</si>
  <si>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</si>
  <si>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</si>
  <si>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</si>
  <si>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</si>
  <si>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</si>
  <si>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</si>
  <si>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</si>
  <si>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</si>
  <si>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</si>
  <si>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</si>
  <si>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</si>
  <si>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</si>
  <si>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</si>
  <si>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</si>
  <si>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</si>
  <si>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</si>
  <si>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</si>
  <si>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</si>
  <si>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</si>
  <si>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</si>
  <si>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</si>
  <si>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</si>
  <si>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</si>
  <si>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</si>
  <si>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</si>
  <si>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</si>
  <si>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</si>
  <si>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</si>
  <si>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</si>
  <si>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</si>
  <si>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</si>
  <si>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</si>
  <si>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</si>
  <si>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</si>
  <si>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</si>
  <si>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</si>
  <si>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</si>
  <si>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</si>
  <si>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</si>
  <si>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</si>
  <si>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</si>
  <si>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</si>
  <si>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</si>
  <si>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</si>
  <si>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</si>
  <si>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</si>
  <si>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</si>
  <si>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</si>
  <si>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</si>
  <si>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</si>
  <si>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</si>
  <si>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</si>
  <si>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</si>
  <si>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</si>
  <si>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</si>
  <si>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</si>
  <si>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</si>
  <si>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</si>
  <si>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</si>
  <si>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</si>
  <si>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</si>
  <si>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</si>
  <si>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</si>
  <si>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</si>
  <si>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</si>
  <si>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</si>
  <si>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</si>
  <si>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</si>
  <si>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</si>
  <si>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</si>
  <si>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</si>
  <si>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</si>
  <si>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</si>
  <si>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</si>
  <si>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</si>
  <si>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</si>
  <si>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</si>
  <si>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</si>
  <si>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</si>
  <si>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</si>
  <si>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</si>
  <si>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</si>
  <si>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</si>
  <si>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</si>
  <si>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</si>
  <si>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</si>
  <si>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</si>
  <si>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</si>
  <si>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</si>
  <si>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</si>
  <si>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</si>
  <si>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</si>
  <si>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</si>
  <si>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</si>
  <si>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</si>
  <si>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</si>
  <si>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</si>
  <si>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</si>
  <si>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</si>
  <si>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</si>
  <si>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</si>
  <si>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</si>
  <si>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</si>
  <si>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</si>
  <si>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</si>
  <si>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</si>
  <si>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</si>
  <si>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</si>
  <si>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</si>
  <si>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</si>
  <si>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</si>
  <si>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</si>
  <si>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</si>
  <si>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</si>
  <si>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</si>
  <si>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</si>
  <si>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</si>
  <si>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</si>
  <si>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</si>
  <si>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</si>
  <si>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</si>
  <si>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</si>
  <si>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</si>
  <si>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</si>
  <si>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</si>
  <si>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</si>
  <si>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</si>
  <si>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</si>
  <si>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</si>
  <si>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</si>
  <si>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</si>
  <si>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</si>
  <si>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</si>
  <si>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</si>
  <si>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</si>
  <si>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</si>
  <si>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</si>
  <si>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</si>
  <si>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</si>
  <si>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</si>
  <si>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</si>
  <si>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</si>
  <si>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</si>
  <si>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</si>
  <si>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</si>
  <si>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</si>
  <si>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</si>
  <si>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</si>
  <si>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</si>
  <si>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</si>
  <si>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</si>
  <si>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</si>
  <si>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</si>
  <si>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</si>
  <si>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</si>
  <si>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</si>
  <si>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</si>
  <si>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</si>
  <si>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</si>
  <si>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</si>
  <si>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</si>
  <si>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</si>
  <si>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</si>
  <si>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</si>
  <si>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</si>
  <si>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</si>
  <si>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</si>
  <si>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</si>
  <si>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</si>
  <si>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</si>
  <si>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</si>
  <si>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</si>
  <si>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</si>
  <si>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</si>
  <si>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</si>
  <si>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</si>
  <si>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</si>
  <si>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</si>
  <si>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</si>
  <si>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</si>
  <si>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</si>
  <si>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</si>
  <si>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</si>
  <si>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</si>
  <si>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</si>
  <si>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</si>
  <si>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</si>
  <si>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</si>
  <si>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</si>
  <si>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</si>
  <si>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</si>
  <si>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</si>
  <si>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</si>
  <si>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</si>
  <si>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</si>
  <si>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</si>
  <si>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</si>
  <si>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</si>
  <si>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</si>
  <si>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</si>
  <si>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</si>
  <si>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</si>
  <si>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</si>
  <si>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</si>
  <si>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</si>
  <si>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</si>
  <si>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</si>
  <si>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</si>
  <si>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</si>
  <si>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</si>
  <si>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</si>
  <si>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</si>
  <si>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</si>
  <si>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</si>
  <si>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</si>
  <si>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</si>
  <si>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</si>
  <si>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</si>
  <si>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</si>
  <si>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</si>
  <si>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</si>
  <si>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</si>
  <si>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</si>
  <si>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</si>
  <si>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</si>
  <si>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</si>
  <si>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</si>
  <si>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</si>
  <si>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</si>
  <si>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</si>
  <si>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</si>
  <si>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</si>
  <si>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</si>
  <si>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</si>
  <si>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</si>
  <si>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</si>
  <si>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</si>
  <si>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</si>
  <si>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</si>
  <si>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</si>
  <si>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</si>
  <si>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</si>
  <si>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</si>
  <si>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</si>
  <si>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</si>
  <si>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</si>
  <si>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</si>
  <si>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</si>
  <si>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</si>
  <si>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</si>
  <si>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</si>
  <si>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</si>
  <si>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</si>
  <si>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</si>
  <si>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</si>
  <si>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</si>
  <si>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</si>
  <si>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</si>
  <si>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</si>
  <si>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</si>
  <si>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</si>
  <si>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</si>
  <si>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</si>
  <si>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</si>
  <si>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</si>
  <si>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</si>
  <si>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</si>
  <si>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</si>
  <si>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</si>
  <si>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</si>
  <si>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</si>
  <si>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</si>
  <si>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</si>
  <si>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</si>
  <si>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</si>
  <si>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</si>
  <si>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</si>
  <si>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</si>
  <si>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</si>
  <si>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</si>
  <si>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</si>
  <si>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</si>
  <si>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</si>
  <si>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</si>
  <si>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</si>
  <si>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</si>
  <si>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</si>
  <si>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</si>
  <si>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</si>
  <si>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</si>
  <si>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</si>
  <si>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</si>
  <si>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</si>
  <si>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</si>
  <si>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</si>
  <si>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</si>
  <si>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</si>
  <si>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</si>
  <si>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</si>
  <si>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</si>
  <si>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</si>
  <si>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</si>
  <si>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</si>
  <si>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</si>
  <si>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</si>
  <si>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</si>
  <si>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</si>
  <si>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</si>
  <si>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</si>
  <si>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</si>
  <si>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</si>
  <si>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</si>
  <si>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</si>
  <si>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</si>
  <si>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</si>
  <si>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</si>
  <si>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</si>
  <si>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</si>
  <si>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</si>
  <si>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</si>
  <si>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</si>
  <si>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</si>
  <si>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</si>
  <si>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</si>
  <si>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</si>
  <si>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</si>
  <si>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</si>
  <si>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</si>
  <si>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</si>
  <si>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</si>
  <si>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</si>
  <si>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</si>
  <si>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</si>
  <si>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</si>
  <si>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</si>
  <si>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</si>
  <si>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</si>
  <si>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</si>
  <si>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</si>
  <si>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</si>
  <si>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</si>
  <si>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</si>
  <si>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</si>
  <si>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</si>
  <si>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</si>
  <si>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</si>
  <si>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</si>
  <si>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</si>
  <si>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</si>
  <si>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</si>
  <si>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</si>
  <si>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</si>
  <si>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</si>
  <si>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</si>
  <si>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</si>
  <si>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</si>
  <si>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</si>
  <si>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</si>
  <si>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</si>
  <si>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</si>
  <si>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</si>
  <si>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</si>
  <si>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</si>
  <si>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</si>
  <si>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</si>
  <si>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</si>
  <si>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</si>
  <si>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</si>
  <si>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</si>
  <si>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</si>
  <si>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</si>
  <si>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</si>
  <si>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</si>
  <si>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</si>
  <si>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</si>
  <si>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</si>
  <si>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</si>
  <si>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</si>
  <si>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</si>
  <si>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</si>
  <si>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</si>
  <si>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</si>
  <si>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</si>
  <si>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</si>
  <si>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</si>
  <si>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</si>
  <si>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</si>
  <si>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</si>
  <si>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</si>
  <si>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</si>
  <si>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</si>
  <si>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</si>
  <si>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</si>
  <si>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</si>
  <si>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</si>
  <si>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</si>
  <si>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</si>
  <si>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</si>
  <si>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</si>
  <si>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</si>
  <si>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</si>
  <si>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</si>
  <si>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</si>
  <si>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</si>
  <si>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</si>
  <si>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</si>
  <si>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</si>
  <si>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</si>
  <si>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</si>
  <si>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</si>
  <si>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</si>
  <si>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</si>
  <si>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</si>
  <si>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</si>
  <si>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</si>
  <si>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</si>
  <si>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</si>
  <si>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</si>
  <si>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</si>
  <si>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</si>
  <si>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</si>
  <si>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</si>
  <si>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</si>
  <si>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</si>
  <si>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</si>
  <si>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</si>
  <si>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</si>
  <si>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</si>
  <si>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</si>
  <si>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</si>
  <si>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</si>
  <si>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</si>
  <si>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</si>
  <si>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</si>
  <si>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</si>
  <si>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</si>
  <si>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</si>
  <si>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</si>
  <si>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</si>
  <si>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</si>
  <si>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</si>
  <si>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</si>
  <si>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</si>
  <si>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</si>
  <si>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</si>
  <si>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</si>
  <si>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</si>
  <si>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</si>
  <si>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</si>
  <si>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</si>
  <si>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</si>
  <si>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</si>
  <si>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</si>
  <si>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</si>
  <si>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</si>
  <si>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</si>
  <si>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</si>
  <si>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</si>
  <si>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</si>
  <si>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</si>
  <si>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</si>
  <si>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</si>
  <si>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</si>
  <si>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</si>
  <si>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</si>
  <si>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</si>
  <si>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</si>
  <si>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</si>
  <si>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</si>
  <si>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</si>
  <si>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</si>
  <si>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</si>
  <si>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</si>
  <si>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</si>
  <si>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</si>
  <si>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</si>
  <si>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</si>
  <si>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</si>
  <si>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</si>
  <si>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</si>
  <si>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</si>
  <si>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</si>
  <si>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</si>
  <si>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</si>
  <si>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</si>
  <si>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</si>
  <si>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</si>
  <si>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</si>
  <si>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</si>
  <si>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</si>
  <si>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</si>
  <si>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</si>
  <si>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</si>
  <si>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</si>
  <si>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</si>
  <si>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</si>
  <si>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</si>
  <si>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</si>
  <si>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</si>
  <si>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</si>
  <si>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</si>
  <si>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</si>
  <si>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</si>
  <si>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</si>
  <si>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</si>
  <si>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</si>
  <si>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</si>
  <si>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</si>
  <si>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</si>
  <si>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</si>
  <si>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</si>
  <si>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</si>
  <si>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</si>
  <si>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</si>
  <si>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</si>
  <si>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</si>
  <si>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</si>
  <si>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</si>
  <si>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</si>
  <si>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</si>
  <si>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</si>
  <si>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</si>
  <si>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</si>
  <si>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</si>
  <si>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</si>
  <si>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</si>
  <si>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</si>
  <si>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</si>
  <si>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</si>
  <si>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</si>
  <si>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</si>
  <si>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</si>
  <si>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</si>
  <si>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</si>
  <si>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</si>
  <si>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</si>
  <si>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</si>
  <si>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</si>
  <si>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</si>
  <si>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</si>
  <si>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</si>
  <si>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</si>
  <si>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</si>
  <si>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</si>
  <si>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</si>
  <si>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</si>
  <si>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</si>
  <si>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</si>
  <si>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</si>
  <si>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</si>
  <si>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</si>
  <si>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</si>
  <si>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</si>
  <si>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</si>
  <si>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</si>
  <si>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</si>
  <si>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</si>
  <si>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</si>
  <si>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</si>
  <si>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</si>
  <si>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</si>
  <si>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</si>
  <si>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</si>
  <si>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</si>
  <si>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</si>
  <si>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</si>
  <si>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</si>
  <si>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</si>
  <si>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</si>
  <si>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</si>
  <si>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</si>
  <si>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</si>
  <si>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</si>
  <si>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</si>
  <si>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</si>
  <si>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</si>
  <si>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</si>
  <si>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</si>
  <si>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</si>
  <si>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</si>
  <si>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</si>
  <si>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</si>
  <si>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</si>
  <si>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</si>
  <si>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</si>
  <si>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</si>
  <si>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</si>
  <si>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</si>
  <si>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</si>
  <si>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</si>
  <si>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</si>
  <si>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</si>
  <si>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</si>
  <si>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</si>
  <si>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</si>
  <si>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</si>
  <si>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</si>
  <si>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</si>
  <si>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</si>
  <si>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</si>
  <si>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</si>
  <si>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</si>
  <si>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</si>
  <si>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</si>
  <si>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</si>
  <si>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</si>
  <si>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</si>
  <si>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</si>
  <si>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</si>
  <si>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</si>
  <si>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</si>
  <si>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</si>
  <si>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</si>
  <si>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</si>
  <si>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</si>
  <si>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</si>
  <si>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</si>
  <si>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</si>
  <si>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</si>
  <si>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</si>
  <si>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</si>
  <si>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</si>
  <si>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</si>
  <si>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</si>
  <si>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</si>
  <si>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</si>
  <si>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</si>
  <si>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</si>
  <si>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</si>
  <si>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</si>
  <si>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</si>
  <si>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</si>
  <si>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</si>
  <si>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</si>
  <si>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</si>
  <si>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</si>
  <si>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</si>
  <si>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</si>
  <si>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</si>
  <si>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</si>
  <si>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</si>
  <si>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</si>
  <si>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</si>
  <si>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</si>
  <si>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</si>
  <si>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</si>
  <si>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</si>
  <si>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</si>
  <si>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</si>
  <si>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</si>
  <si>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</si>
  <si>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</si>
  <si>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</si>
  <si>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</si>
  <si>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</si>
  <si>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</si>
  <si>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</si>
  <si>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</si>
  <si>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</si>
  <si>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</si>
  <si>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</si>
  <si>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</si>
  <si>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</si>
  <si>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</si>
  <si>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</si>
  <si>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</si>
  <si>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</si>
  <si>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</si>
  <si>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</si>
  <si>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</si>
  <si>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</si>
  <si>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</si>
  <si>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</si>
  <si>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</si>
  <si>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</si>
  <si>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</si>
  <si>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</si>
  <si>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</si>
  <si>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</si>
  <si>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</si>
  <si>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</si>
  <si>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</si>
  <si>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</si>
  <si>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</si>
  <si>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</si>
  <si>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</si>
  <si>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</si>
  <si>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</si>
  <si>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</si>
  <si>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</si>
  <si>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</si>
  <si>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</si>
  <si>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</si>
  <si>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</si>
  <si>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</si>
  <si>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</si>
  <si>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</si>
  <si>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</si>
  <si>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</si>
  <si>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</si>
  <si>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</si>
  <si>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</si>
  <si>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</si>
  <si>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</si>
  <si>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</si>
  <si>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</si>
  <si>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</si>
  <si>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</si>
  <si>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</si>
  <si>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</si>
  <si>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</si>
  <si>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</si>
  <si>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</si>
  <si>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</si>
  <si>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</si>
  <si>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</si>
  <si>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</si>
  <si>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</si>
  <si>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</si>
  <si>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</si>
  <si>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</si>
  <si>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</si>
  <si>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</si>
  <si>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</si>
  <si>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</si>
  <si>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</si>
  <si>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</si>
  <si>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</si>
  <si>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</si>
  <si>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</si>
  <si>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</si>
  <si>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</si>
  <si>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</si>
  <si>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</si>
  <si>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</si>
  <si>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</si>
  <si>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</si>
  <si>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</si>
  <si>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</si>
  <si>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</si>
  <si>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</si>
  <si>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</si>
  <si>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</si>
  <si>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</si>
  <si>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</si>
  <si>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</si>
  <si>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</si>
  <si>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</si>
  <si>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</si>
  <si>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</si>
  <si>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</si>
  <si>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</si>
  <si>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</si>
  <si>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</si>
  <si>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</si>
  <si>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</si>
  <si>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</si>
  <si>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</si>
  <si>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</si>
  <si>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</si>
  <si>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</si>
  <si>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</si>
  <si>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</si>
  <si>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</si>
  <si>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</si>
  <si>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</si>
  <si>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</si>
  <si>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</si>
  <si>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</si>
  <si>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</si>
  <si>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</si>
  <si>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</si>
  <si>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</si>
  <si>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</si>
  <si>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</si>
  <si>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</si>
  <si>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</si>
  <si>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</si>
  <si>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</si>
  <si>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</si>
  <si>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</si>
  <si>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</si>
  <si>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</si>
  <si>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</si>
  <si>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</si>
  <si>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</si>
  <si>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</si>
  <si>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</si>
  <si>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</si>
  <si>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</si>
  <si>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</si>
  <si>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</si>
  <si>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</si>
  <si>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</si>
  <si>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</si>
  <si>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</si>
  <si>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</si>
  <si>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</si>
  <si>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</si>
  <si>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</si>
  <si>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</si>
  <si>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</si>
  <si>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</si>
  <si>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</si>
  <si>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</si>
  <si>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</si>
  <si>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</si>
  <si>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</si>
  <si>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</si>
  <si>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</si>
  <si>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</si>
  <si>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</si>
  <si>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</si>
  <si>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</si>
  <si>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</si>
  <si>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</si>
  <si>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</si>
  <si>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</si>
  <si>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</si>
  <si>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</si>
  <si>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</si>
  <si>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</si>
  <si>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</si>
  <si>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</si>
  <si>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</si>
  <si>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</si>
  <si>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</si>
  <si>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</si>
  <si>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</si>
  <si>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</si>
  <si>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</si>
  <si>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</si>
  <si>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</si>
  <si>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</si>
  <si>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</si>
  <si>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</si>
  <si>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</si>
  <si>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</si>
  <si>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</si>
  <si>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</si>
  <si>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</si>
  <si>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</si>
  <si>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</si>
  <si>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</si>
  <si>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</si>
  <si>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</si>
  <si>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</si>
  <si>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</si>
  <si>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</si>
  <si>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</si>
  <si>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</si>
  <si>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</si>
  <si>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</si>
  <si>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</si>
  <si>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</si>
  <si>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</si>
  <si>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</si>
  <si>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</si>
  <si>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</si>
  <si>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</si>
  <si>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</si>
  <si>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</si>
  <si>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</si>
  <si>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</si>
  <si>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</si>
  <si>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</si>
  <si>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</si>
  <si>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</si>
  <si>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</si>
  <si>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</si>
  <si>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</si>
  <si>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</si>
  <si>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</si>
  <si>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</si>
  <si>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</si>
  <si>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</si>
  <si>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</si>
  <si>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</si>
  <si>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</si>
  <si>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</si>
  <si>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</si>
  <si>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</si>
  <si>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</si>
  <si>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</si>
  <si>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</si>
  <si>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</si>
  <si>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</si>
  <si>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</si>
  <si>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</si>
  <si>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</si>
  <si>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</si>
  <si>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</si>
  <si>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</si>
  <si>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</si>
  <si>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</si>
  <si>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</si>
  <si>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</si>
  <si>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</si>
  <si>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</si>
  <si>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</si>
  <si>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</si>
  <si>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</si>
  <si>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</si>
  <si>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</si>
  <si>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</si>
  <si>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</si>
  <si>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</si>
  <si>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</si>
  <si>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</si>
  <si>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</si>
  <si>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</si>
  <si>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</si>
  <si>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</si>
  <si>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</si>
  <si>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</si>
  <si>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</si>
  <si>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</si>
  <si>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</si>
  <si>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</si>
  <si>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</si>
  <si>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</si>
  <si>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</si>
  <si>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</si>
  <si>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</si>
  <si>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</si>
  <si>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</si>
  <si>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</si>
  <si>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</si>
  <si>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</si>
  <si>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</si>
  <si>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</si>
  <si>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</si>
  <si>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</si>
  <si>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</si>
  <si>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</si>
  <si>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</si>
  <si>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</si>
  <si>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</si>
  <si>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</si>
  <si>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</si>
  <si>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</si>
  <si>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</si>
  <si>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</si>
  <si>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</si>
  <si>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</si>
  <si>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</si>
  <si>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</si>
  <si>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</si>
  <si>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</si>
  <si>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</si>
  <si>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</si>
  <si>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</si>
  <si>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</si>
  <si>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</si>
  <si>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</si>
  <si>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</si>
  <si>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</si>
  <si>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</si>
  <si>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</si>
  <si>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</si>
  <si>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</si>
  <si>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</si>
  <si>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</si>
  <si>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</si>
  <si>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</si>
  <si>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</si>
  <si>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</si>
  <si>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</si>
  <si>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</si>
  <si>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</si>
  <si>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</si>
  <si>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</si>
  <si>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</si>
  <si>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</si>
  <si>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</si>
  <si>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</si>
  <si>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</si>
  <si>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</si>
  <si>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</si>
  <si>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</si>
  <si>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</si>
  <si>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</si>
  <si>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</si>
  <si>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</si>
  <si>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</si>
  <si>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</si>
  <si>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</si>
  <si>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</si>
  <si>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</si>
  <si>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</si>
  <si>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</si>
  <si>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</si>
  <si>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</si>
  <si>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</si>
  <si>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</si>
  <si>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</si>
  <si>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</si>
  <si>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</si>
  <si>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</si>
  <si>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</si>
  <si>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</si>
  <si>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</si>
  <si>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</si>
  <si>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</si>
  <si>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</si>
  <si>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</si>
  <si>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</si>
  <si>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</si>
  <si>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</si>
  <si>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</si>
  <si>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</si>
  <si>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</si>
  <si>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</si>
  <si>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</si>
  <si>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</si>
  <si>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</si>
  <si>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</si>
  <si>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</si>
  <si>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</si>
  <si>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</si>
  <si>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</si>
  <si>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</si>
  <si>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</si>
  <si>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</si>
  <si>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</si>
  <si>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</si>
  <si>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</si>
  <si>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</si>
  <si>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</si>
  <si>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</si>
  <si>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</si>
  <si>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</si>
  <si>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</si>
  <si>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</si>
  <si>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</si>
  <si>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</si>
  <si>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</si>
  <si>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</si>
  <si>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</si>
  <si>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</si>
  <si>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</si>
  <si>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</si>
  <si>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</si>
  <si>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</si>
  <si>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</si>
  <si>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</si>
  <si>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</si>
  <si>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</si>
  <si>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</si>
  <si>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</si>
  <si>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</si>
  <si>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</si>
  <si>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</si>
  <si>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</si>
  <si>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</si>
  <si>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</si>
  <si>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</si>
  <si>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</si>
  <si>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</si>
  <si>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</si>
  <si>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</si>
  <si>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</si>
  <si>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</si>
  <si>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</si>
  <si>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</si>
  <si>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</si>
  <si>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</si>
  <si>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</si>
  <si>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</si>
  <si>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</si>
  <si>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</si>
  <si>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</si>
  <si>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</si>
  <si>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</si>
  <si>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</si>
  <si>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</si>
  <si>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</si>
  <si>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</si>
  <si>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</si>
  <si>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</si>
  <si>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</si>
  <si>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</si>
  <si>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</si>
  <si>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</si>
  <si>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</si>
  <si>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</si>
  <si>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</si>
  <si>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</si>
  <si>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</si>
  <si>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</si>
  <si>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</si>
  <si>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</si>
  <si>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</si>
  <si>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</si>
  <si>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</si>
  <si>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</si>
  <si>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</si>
  <si>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</si>
  <si>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</si>
  <si>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</si>
  <si>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</si>
  <si>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</si>
  <si>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</si>
  <si>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</si>
  <si>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</si>
  <si>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</si>
  <si>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</si>
  <si>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</si>
  <si>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</si>
  <si>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</si>
  <si>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</si>
  <si>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</si>
  <si>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</si>
  <si>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</si>
  <si>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</si>
  <si>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</si>
  <si>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</si>
  <si>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</si>
  <si>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</si>
  <si>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</si>
  <si>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</si>
  <si>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</si>
  <si>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</si>
  <si>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</si>
  <si>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</si>
  <si>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</si>
  <si>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</si>
  <si>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</si>
  <si>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</si>
  <si>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</si>
  <si>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</si>
  <si>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</si>
  <si>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</si>
  <si>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</si>
  <si>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</si>
  <si>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</si>
  <si>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</si>
  <si>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</si>
  <si>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</si>
  <si>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</si>
  <si>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</si>
  <si>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</si>
  <si>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</si>
  <si>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</si>
  <si>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</si>
  <si>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</si>
  <si>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</si>
  <si>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</si>
  <si>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</si>
  <si>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</si>
  <si>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</si>
  <si>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</si>
  <si>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</si>
  <si>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</si>
  <si>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</si>
  <si>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</si>
  <si>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</si>
  <si>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</si>
  <si>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</si>
  <si>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</si>
  <si>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</si>
  <si>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</si>
  <si>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</si>
  <si>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</si>
  <si>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</si>
  <si>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</si>
  <si>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</si>
  <si>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</si>
  <si>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</si>
  <si>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</si>
  <si>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</si>
  <si>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</si>
  <si>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</si>
  <si>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</si>
  <si>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</si>
  <si>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</si>
  <si>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</si>
  <si>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</si>
  <si>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</si>
  <si>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</si>
  <si>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</si>
  <si>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</si>
  <si>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</si>
  <si>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</si>
  <si>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</si>
  <si>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</si>
  <si>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</si>
  <si>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</si>
  <si>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</si>
  <si>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</si>
  <si>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</si>
  <si>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</si>
  <si>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</si>
  <si>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</si>
  <si>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</si>
  <si>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</si>
  <si>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</si>
  <si>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</si>
  <si>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</si>
  <si>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</si>
  <si>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</si>
  <si>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</si>
  <si>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</si>
  <si>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</si>
  <si>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</si>
  <si>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</si>
  <si>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</si>
  <si>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</si>
  <si>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</si>
  <si>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</si>
  <si>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</si>
  <si>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</si>
  <si>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</si>
  <si>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</si>
  <si>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</si>
  <si>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</si>
  <si>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</si>
  <si>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</si>
  <si>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</si>
  <si>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</si>
  <si>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</si>
  <si>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</si>
  <si>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</si>
  <si>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</si>
  <si>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</si>
  <si>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</si>
  <si>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</si>
  <si>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</si>
  <si>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</si>
  <si>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</si>
  <si>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</si>
  <si>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</si>
  <si>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</si>
  <si>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</si>
  <si>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</si>
  <si>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</si>
  <si>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</si>
  <si>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</si>
  <si>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</si>
  <si>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</si>
  <si>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</si>
  <si>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</si>
  <si>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</si>
  <si>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</si>
  <si>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</si>
  <si>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</si>
  <si>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</si>
  <si>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</si>
  <si>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</si>
  <si>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</si>
  <si>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</si>
  <si>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</si>
  <si>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</si>
  <si>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</si>
  <si>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</si>
  <si>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</si>
  <si>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</si>
  <si>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</si>
  <si>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</si>
  <si>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</si>
  <si>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</si>
  <si>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</si>
  <si>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</si>
  <si>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</si>
  <si>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</si>
  <si>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</si>
  <si>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</si>
  <si>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</si>
  <si>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</si>
  <si>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</si>
  <si>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</si>
  <si>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</si>
  <si>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</si>
  <si>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</si>
  <si>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</si>
  <si>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</si>
  <si>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</si>
  <si>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</si>
  <si>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</si>
  <si>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</si>
  <si>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</si>
  <si>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</si>
  <si>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</si>
  <si>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</si>
  <si>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</si>
  <si>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</si>
  <si>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</si>
  <si>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</si>
  <si>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</si>
  <si>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</si>
  <si>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</si>
  <si>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</si>
  <si>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</si>
  <si>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</si>
  <si>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</si>
  <si>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</si>
  <si>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</si>
  <si>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</si>
  <si>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</si>
  <si>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</si>
  <si>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</si>
  <si>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</si>
  <si>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</si>
  <si>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</si>
  <si>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</si>
  <si>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</si>
  <si>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</si>
  <si>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</si>
  <si>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</si>
  <si>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</si>
  <si>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</si>
  <si>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</si>
  <si>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</si>
  <si>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</si>
  <si>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</si>
  <si>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</si>
  <si>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</si>
  <si>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</si>
  <si>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</si>
  <si>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</si>
  <si>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</si>
  <si>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</si>
  <si>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</si>
  <si>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</si>
  <si>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</si>
  <si>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</si>
  <si>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</si>
  <si>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</si>
  <si>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</si>
  <si>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</si>
  <si>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</si>
  <si>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</si>
  <si>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</si>
  <si>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</si>
  <si>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</si>
  <si>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</si>
  <si>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</si>
  <si>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</si>
  <si>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</si>
  <si>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</si>
  <si>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</si>
  <si>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</si>
  <si>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</si>
  <si>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</si>
  <si>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</si>
  <si>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</si>
  <si>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</si>
  <si>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</si>
  <si>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</si>
  <si>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</si>
  <si>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</si>
  <si>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</si>
  <si>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</si>
  <si>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</si>
  <si>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</si>
  <si>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</si>
  <si>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</si>
  <si>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</si>
  <si>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</si>
  <si>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</si>
  <si>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</si>
  <si>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</si>
  <si>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</si>
  <si>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</si>
  <si>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</si>
  <si>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</si>
  <si>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</si>
  <si>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</si>
  <si>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</si>
  <si>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</si>
  <si>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</si>
  <si>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</si>
  <si>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</si>
  <si>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</si>
  <si>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</si>
  <si>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</si>
  <si>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</si>
  <si>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</si>
  <si>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</si>
  <si>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</si>
  <si>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</si>
  <si>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</si>
  <si>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</si>
  <si>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</si>
  <si>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</si>
  <si>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</si>
  <si>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</si>
  <si>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</si>
  <si>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</si>
  <si>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</si>
  <si>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</si>
  <si>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</si>
  <si>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</si>
  <si>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</si>
  <si>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</si>
  <si>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</si>
  <si>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</si>
  <si>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</si>
  <si>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</si>
  <si>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</si>
  <si>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</si>
  <si>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</si>
  <si>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</si>
  <si>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</si>
  <si>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</si>
  <si>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</si>
  <si>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</si>
  <si>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</si>
  <si>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</si>
  <si>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</si>
  <si>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</si>
  <si>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</si>
  <si>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</si>
  <si>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</si>
  <si>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</si>
  <si>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</si>
  <si>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</si>
  <si>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</si>
  <si>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</si>
  <si>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</si>
  <si>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</si>
  <si>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</si>
  <si>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</si>
  <si>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</si>
  <si>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</si>
  <si>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</si>
  <si>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</si>
  <si>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</si>
  <si>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</si>
  <si>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</si>
  <si>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</si>
  <si>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</si>
  <si>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</si>
  <si>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</si>
  <si>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</si>
  <si>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</si>
  <si>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</si>
  <si>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</si>
  <si>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</si>
  <si>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</si>
  <si>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</si>
  <si>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</si>
  <si>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</si>
  <si>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</si>
  <si>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</si>
  <si>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</si>
  <si>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</si>
  <si>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</si>
  <si>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</si>
  <si>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</si>
  <si>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</si>
  <si>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</si>
  <si>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</si>
  <si>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</si>
  <si>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</si>
  <si>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</si>
  <si>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</si>
  <si>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</si>
  <si>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</si>
  <si>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</si>
  <si>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</si>
  <si>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</si>
  <si>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</si>
  <si>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</si>
  <si>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</si>
  <si>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</si>
  <si>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</si>
  <si>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</si>
  <si>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</si>
  <si>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</si>
  <si>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</si>
  <si>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</si>
  <si>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</si>
  <si>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</si>
  <si>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</si>
  <si>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</si>
  <si>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</si>
  <si>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</si>
  <si>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</si>
  <si>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</si>
  <si>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</si>
  <si>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</si>
  <si>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</si>
  <si>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</si>
  <si>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</si>
  <si>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</si>
  <si>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</si>
  <si>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</si>
  <si>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</si>
  <si>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</si>
  <si>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</si>
  <si>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</si>
  <si>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</si>
  <si>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</si>
  <si>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</si>
  <si>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</si>
  <si>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</si>
  <si>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</si>
  <si>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</si>
  <si>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</si>
  <si>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</si>
  <si>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</si>
  <si>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</si>
  <si>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</si>
  <si>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</si>
  <si>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</si>
  <si>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</si>
  <si>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</si>
  <si>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</si>
  <si>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</si>
  <si>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</si>
  <si>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</si>
  <si>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</si>
  <si>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</si>
  <si>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</si>
  <si>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</si>
  <si>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</si>
  <si>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</si>
  <si>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</si>
  <si>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</si>
  <si>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</si>
  <si>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</si>
  <si>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</si>
  <si>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</si>
  <si>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</si>
  <si>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</si>
  <si>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</si>
  <si>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</si>
  <si>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</si>
  <si>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</si>
  <si>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</si>
  <si>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</si>
  <si>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</si>
  <si>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</si>
  <si>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</si>
  <si>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</si>
  <si>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</si>
  <si>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</si>
  <si>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</si>
  <si>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</si>
  <si>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</si>
  <si>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</si>
  <si>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</si>
  <si>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</si>
  <si>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</si>
  <si>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</si>
  <si>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</si>
  <si>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</si>
  <si>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</si>
  <si>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</si>
  <si>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</si>
  <si>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</si>
  <si>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</si>
  <si>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</si>
  <si>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</si>
  <si>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</si>
  <si>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</si>
  <si>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</si>
  <si>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</si>
  <si>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</si>
  <si>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</si>
  <si>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</si>
  <si>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</si>
  <si>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</si>
  <si>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</si>
  <si>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</si>
  <si>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</si>
  <si>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</si>
  <si>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</si>
  <si>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</si>
  <si>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</si>
  <si>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</si>
  <si>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</si>
  <si>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</si>
  <si>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</si>
  <si>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</si>
  <si>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</si>
  <si>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</si>
  <si>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</si>
  <si>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</si>
  <si>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</si>
  <si>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</si>
  <si>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</si>
  <si>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</si>
  <si>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</si>
  <si>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</si>
  <si>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</si>
  <si>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</si>
  <si>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</si>
  <si>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</si>
  <si>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</si>
  <si>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</si>
  <si>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</si>
  <si>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</si>
  <si>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</si>
  <si>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</si>
  <si>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</si>
  <si>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</si>
  <si>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</si>
  <si>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</si>
  <si>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</si>
  <si>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</si>
  <si>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</si>
  <si>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</si>
  <si>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</si>
  <si>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</si>
  <si>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</si>
  <si>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</si>
  <si>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</si>
  <si>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</si>
  <si>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</si>
  <si>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</si>
  <si>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</si>
  <si>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</si>
  <si>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</si>
  <si>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</si>
  <si>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</si>
  <si>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</si>
  <si>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</si>
  <si>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</si>
  <si>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</si>
  <si>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</si>
  <si>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</si>
  <si>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</si>
  <si>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</si>
  <si>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</si>
  <si>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</si>
  <si>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</si>
  <si>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</si>
  <si>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</si>
  <si>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</si>
  <si>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</si>
  <si>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</si>
  <si>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</si>
  <si>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</si>
  <si>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</si>
  <si>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</si>
  <si>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</si>
  <si>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</si>
  <si>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</si>
  <si>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</si>
  <si>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</si>
  <si>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</si>
  <si>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</si>
  <si>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</si>
  <si>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</si>
  <si>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</si>
  <si>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</si>
  <si>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</si>
  <si>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</si>
  <si>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</si>
  <si>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</si>
  <si>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</si>
  <si>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</si>
  <si>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</si>
  <si>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</si>
  <si>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</si>
  <si>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</si>
  <si>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</si>
  <si>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</si>
  <si>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</si>
  <si>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</si>
  <si>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</si>
  <si>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</si>
  <si>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</si>
  <si>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</si>
  <si>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</si>
  <si>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</si>
  <si>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</si>
  <si>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</si>
  <si>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</si>
  <si>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</si>
  <si>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</si>
  <si>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</si>
  <si>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</si>
  <si>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</si>
  <si>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</si>
  <si>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</si>
  <si>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</si>
  <si>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</si>
  <si>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</si>
  <si>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</si>
  <si>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</si>
  <si>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</si>
  <si>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</si>
  <si>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</si>
  <si>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</si>
  <si>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</si>
  <si>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</si>
  <si>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</si>
  <si>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</si>
  <si>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</si>
  <si>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</si>
  <si>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</si>
  <si>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</si>
  <si>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</si>
  <si>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</si>
  <si>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</si>
  <si>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</si>
  <si>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</si>
  <si>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</si>
  <si>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</si>
  <si>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</si>
  <si>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</si>
  <si>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</si>
  <si>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</si>
  <si>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</si>
  <si>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</si>
  <si>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</si>
  <si>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</si>
  <si>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</si>
  <si>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</si>
  <si>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</si>
  <si>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</si>
  <si>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</si>
  <si>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</si>
  <si>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</si>
  <si>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</si>
  <si>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</si>
  <si>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</si>
  <si>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</si>
  <si>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</si>
  <si>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</si>
  <si>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</si>
  <si>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</si>
  <si>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</si>
  <si>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</si>
  <si>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</si>
  <si>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</si>
  <si>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</si>
  <si>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</si>
  <si>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</si>
  <si>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</si>
  <si>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</si>
  <si>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</si>
  <si>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</si>
  <si>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</si>
  <si>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</si>
  <si>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</si>
  <si>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</si>
  <si>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</si>
  <si>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</si>
  <si>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</si>
  <si>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</si>
  <si>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</si>
  <si>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</si>
  <si>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</si>
  <si>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</si>
  <si>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</si>
  <si>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</si>
  <si>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</si>
  <si>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</si>
  <si>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</si>
  <si>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</si>
  <si>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</si>
  <si>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</si>
  <si>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</si>
  <si>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</si>
  <si>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</si>
  <si>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</si>
  <si>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</si>
  <si>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</si>
  <si>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</si>
  <si>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</si>
  <si>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</si>
  <si>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</si>
  <si>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</si>
  <si>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</si>
  <si>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</si>
  <si>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</si>
  <si>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</si>
  <si>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</si>
  <si>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</si>
  <si>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</si>
  <si>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</si>
  <si>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</si>
  <si>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</si>
  <si>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</si>
  <si>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</si>
  <si>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</si>
  <si>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</si>
  <si>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</si>
  <si>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</si>
  <si>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</si>
  <si>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</si>
  <si>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</si>
  <si>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</si>
  <si>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</si>
  <si>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</si>
  <si>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</si>
  <si>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</si>
  <si>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</si>
  <si>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</si>
  <si>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</si>
  <si>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</si>
  <si>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</si>
  <si>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</si>
  <si>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</si>
  <si>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</si>
  <si>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</si>
  <si>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</si>
  <si>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</si>
  <si>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</si>
  <si>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</si>
  <si>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</si>
  <si>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</si>
  <si>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</si>
  <si>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</si>
  <si>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</si>
  <si>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</si>
  <si>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</si>
  <si>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</si>
  <si>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</si>
  <si>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</si>
  <si>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</si>
  <si>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</si>
  <si>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</si>
  <si>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</si>
  <si>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</si>
  <si>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</si>
  <si>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</si>
  <si>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</si>
  <si>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</si>
  <si>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</si>
  <si>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</si>
  <si>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</si>
  <si>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</si>
  <si>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</si>
  <si>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</si>
  <si>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</si>
  <si>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</si>
  <si>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</si>
  <si>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</si>
  <si>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</si>
  <si>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</si>
  <si>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</si>
  <si>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</si>
  <si>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</si>
  <si>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</si>
  <si>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</si>
  <si>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</si>
  <si>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</si>
  <si>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</si>
  <si>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</si>
  <si>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</si>
  <si>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</si>
  <si>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</si>
  <si>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</si>
  <si>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</si>
  <si>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</si>
  <si>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</si>
  <si>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</si>
  <si>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</si>
  <si>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</si>
  <si>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</si>
  <si>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</si>
  <si>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</si>
  <si>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</si>
  <si>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</si>
  <si>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</si>
  <si>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</si>
  <si>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</si>
  <si>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</si>
  <si>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</si>
  <si>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</si>
  <si>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</si>
  <si>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</si>
  <si>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</si>
  <si>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</si>
  <si>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</si>
  <si>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</si>
  <si>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</si>
  <si>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</si>
  <si>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</si>
  <si>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</si>
  <si>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</si>
  <si>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</si>
  <si>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</si>
  <si>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</si>
  <si>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</si>
  <si>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</si>
  <si>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</si>
  <si>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</si>
  <si>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</si>
  <si>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</si>
  <si>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</si>
  <si>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</si>
  <si>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</si>
  <si>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</si>
  <si>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</si>
  <si>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</si>
  <si>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</si>
  <si>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</si>
  <si>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</si>
  <si>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</si>
  <si>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</si>
  <si>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</si>
  <si>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</si>
  <si>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</si>
  <si>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</si>
  <si>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</si>
  <si>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</si>
  <si>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</si>
  <si>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</si>
  <si>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</si>
  <si>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</si>
  <si>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</si>
  <si>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</si>
  <si>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</si>
  <si>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</si>
  <si>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</si>
  <si>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</si>
  <si>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</si>
  <si>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</si>
  <si>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</si>
  <si>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</si>
  <si>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</si>
  <si>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</si>
  <si>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</si>
  <si>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</si>
  <si>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</si>
  <si>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</si>
  <si>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</si>
  <si>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</si>
  <si>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</si>
  <si>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</si>
  <si>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</si>
  <si>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</si>
  <si>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</si>
  <si>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</si>
  <si>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</si>
  <si>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</si>
  <si>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</si>
  <si>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</si>
  <si>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</si>
  <si>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</si>
  <si>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</si>
  <si>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</si>
  <si>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</si>
  <si>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</si>
  <si>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</si>
  <si>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</si>
  <si>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</si>
  <si>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</si>
  <si>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</si>
  <si>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</si>
  <si>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</si>
  <si>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</si>
  <si>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</si>
  <si>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</si>
  <si>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</si>
  <si>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</si>
  <si>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</si>
  <si>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</si>
  <si>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</si>
  <si>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</si>
  <si>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</si>
  <si>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</si>
  <si>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</si>
  <si>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</si>
  <si>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</si>
  <si>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</si>
  <si>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</si>
  <si>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</si>
  <si>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</si>
  <si>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</si>
  <si>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</si>
  <si>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</si>
  <si>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</si>
  <si>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</si>
  <si>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</si>
  <si>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</si>
  <si>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</si>
  <si>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</si>
  <si>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</si>
  <si>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</si>
  <si>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</si>
  <si>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</si>
  <si>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</si>
  <si>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</si>
  <si>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</si>
  <si>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</si>
  <si>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</si>
  <si>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</si>
  <si>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</si>
  <si>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</si>
  <si>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</si>
  <si>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</si>
  <si>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</si>
  <si>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</si>
  <si>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</si>
  <si>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</si>
  <si>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</si>
  <si>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</si>
  <si>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</si>
  <si>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</si>
  <si>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</si>
  <si>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</si>
  <si>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</si>
  <si>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</si>
  <si>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</si>
  <si>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</si>
  <si>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</si>
  <si>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</si>
  <si>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</si>
  <si>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</si>
  <si>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</si>
  <si>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</si>
  <si>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</si>
  <si>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</si>
  <si>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</si>
  <si>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</si>
  <si>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</si>
  <si>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</si>
  <si>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</si>
  <si>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</si>
  <si>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</si>
  <si>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</si>
  <si>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</si>
  <si>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</si>
  <si>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</si>
  <si>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</si>
  <si>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</si>
  <si>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</si>
  <si>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</si>
  <si>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</si>
  <si>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</si>
  <si>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</si>
  <si>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</si>
  <si>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</si>
  <si>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</si>
  <si>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</si>
  <si>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</si>
  <si>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</si>
  <si>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</si>
  <si>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</si>
  <si>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</si>
  <si>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</si>
  <si>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</si>
  <si>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</si>
  <si>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</si>
  <si>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</si>
  <si>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</si>
  <si>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</si>
  <si>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</si>
  <si>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</si>
  <si>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</si>
  <si>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</si>
  <si>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</si>
  <si>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</si>
  <si>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</si>
  <si>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</si>
  <si>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</si>
  <si>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</si>
  <si>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</si>
  <si>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</si>
  <si>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</si>
  <si>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</si>
  <si>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</si>
  <si>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</si>
  <si>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</si>
  <si>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</si>
  <si>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</si>
  <si>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</si>
  <si>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</si>
  <si>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</si>
  <si>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</si>
  <si>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</si>
  <si>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</si>
  <si>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</si>
  <si>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</si>
  <si>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</si>
  <si>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</si>
  <si>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</si>
  <si>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</si>
  <si>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</si>
  <si>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</si>
  <si>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</si>
  <si>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</si>
  <si>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</si>
  <si>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</si>
  <si>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</si>
  <si>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</si>
  <si>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</si>
  <si>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</si>
  <si>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</si>
  <si>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</si>
  <si>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</si>
  <si>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</si>
  <si>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</si>
  <si>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</si>
  <si>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</si>
  <si>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</si>
  <si>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</si>
  <si>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</si>
  <si>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</si>
  <si>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</si>
  <si>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</si>
  <si>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</si>
  <si>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</si>
  <si>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</si>
  <si>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</si>
  <si>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</si>
  <si>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</si>
  <si>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</si>
  <si>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</si>
  <si>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</si>
  <si>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</si>
  <si>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</si>
  <si>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</si>
  <si>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</si>
  <si>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</si>
  <si>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</si>
  <si>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</si>
  <si>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</si>
  <si>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</si>
  <si>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</si>
  <si>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</si>
  <si>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</si>
  <si>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</si>
  <si>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</si>
  <si>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</si>
  <si>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</si>
  <si>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</si>
  <si>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</si>
  <si>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</si>
  <si>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</si>
  <si>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</si>
  <si>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</si>
  <si>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</si>
  <si>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</si>
  <si>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</si>
  <si>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</si>
  <si>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</si>
  <si>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</si>
  <si>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</si>
  <si>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</si>
  <si>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</si>
  <si>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</si>
  <si>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</si>
  <si>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</si>
  <si>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</si>
  <si>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</si>
  <si>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</si>
  <si>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</si>
  <si>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</si>
  <si>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</si>
  <si>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</si>
  <si>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</si>
  <si>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</si>
  <si>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</si>
  <si>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</si>
  <si>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</si>
  <si>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</si>
  <si>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</si>
  <si>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</si>
  <si>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</si>
  <si>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</si>
  <si>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</si>
  <si>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</si>
  <si>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</si>
  <si>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</si>
  <si>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</si>
  <si>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</si>
  <si>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</si>
  <si>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</si>
  <si>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</si>
  <si>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</si>
  <si>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</si>
  <si>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</si>
  <si>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</si>
  <si>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</si>
  <si>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</si>
  <si>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</si>
  <si>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</si>
  <si>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</si>
  <si>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</si>
  <si>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</si>
  <si>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</si>
  <si>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</si>
  <si>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</si>
  <si>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</si>
  <si>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</si>
  <si>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</si>
  <si>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</si>
  <si>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</si>
  <si>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</si>
  <si>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</si>
  <si>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</si>
  <si>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</si>
  <si>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</si>
  <si>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</si>
  <si>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</si>
  <si>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</si>
  <si>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</si>
  <si>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</si>
  <si>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</si>
  <si>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</si>
  <si>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</si>
  <si>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</si>
  <si>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</si>
  <si>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</si>
  <si>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</si>
  <si>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</si>
  <si>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</si>
  <si>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</si>
  <si>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</si>
  <si>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</si>
  <si>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</si>
  <si>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</si>
  <si>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</si>
  <si>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</si>
  <si>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</si>
  <si>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</si>
  <si>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</si>
  <si>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</si>
  <si>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</si>
  <si>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</si>
  <si>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</si>
  <si>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</si>
  <si>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</si>
  <si>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</si>
  <si>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</si>
  <si>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</si>
  <si>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</si>
  <si>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</si>
  <si>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</si>
  <si>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</si>
  <si>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</si>
  <si>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</si>
  <si>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</si>
  <si>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</si>
  <si>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</si>
  <si>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</si>
  <si>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</si>
  <si>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</si>
  <si>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</si>
  <si>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</si>
  <si>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</si>
  <si>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</si>
  <si>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</si>
  <si>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</si>
  <si>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</si>
  <si>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</si>
  <si>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</si>
  <si>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</si>
  <si>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</si>
  <si>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</si>
  <si>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</si>
  <si>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</si>
  <si>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</si>
  <si>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</si>
  <si>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</si>
  <si>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</si>
  <si>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</si>
  <si>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</si>
  <si>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</si>
  <si>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</si>
  <si>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</si>
  <si>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</si>
  <si>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</si>
  <si>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</si>
  <si>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</si>
  <si>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</si>
  <si>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</si>
  <si>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</si>
  <si>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</si>
  <si>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</si>
  <si>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</si>
  <si>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</si>
  <si>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</si>
  <si>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</si>
  <si>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</si>
  <si>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</si>
  <si>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</si>
  <si>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</si>
  <si>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</si>
  <si>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</si>
  <si>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</si>
  <si>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</si>
  <si>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</si>
  <si>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</si>
  <si>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</si>
  <si>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</si>
  <si>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</si>
  <si>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</si>
  <si>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</si>
  <si>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</si>
  <si>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</si>
  <si>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</si>
  <si>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</si>
  <si>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</si>
  <si>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</si>
  <si>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</si>
  <si>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</si>
  <si>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</si>
  <si>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</si>
  <si>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</si>
  <si>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</si>
  <si>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</si>
  <si>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</si>
  <si>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</si>
  <si>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</si>
  <si>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</si>
  <si>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</si>
  <si>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</si>
  <si>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</si>
  <si>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</si>
  <si>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</si>
  <si>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</si>
  <si>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</si>
  <si>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</si>
  <si>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</si>
  <si>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</si>
  <si>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</si>
  <si>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</si>
  <si>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</si>
  <si>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</si>
  <si>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</si>
  <si>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</si>
  <si>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</si>
  <si>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</si>
  <si>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</si>
  <si>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</si>
  <si>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</si>
  <si>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</si>
  <si>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</si>
  <si>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</si>
  <si>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</si>
  <si>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</si>
  <si>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</si>
  <si>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</si>
  <si>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</si>
  <si>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</si>
  <si>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</si>
  <si>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</si>
  <si>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</si>
  <si>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</si>
  <si>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</si>
  <si>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</si>
  <si>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</si>
  <si>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</si>
  <si>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</si>
  <si>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</si>
  <si>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</si>
  <si>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</si>
  <si>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</si>
  <si>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</si>
  <si>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</si>
  <si>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</si>
  <si>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</si>
  <si>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</si>
  <si>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</si>
  <si>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</si>
  <si>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</si>
  <si>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</si>
  <si>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</si>
  <si>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</si>
  <si>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</si>
  <si>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</si>
  <si>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</si>
  <si>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</si>
  <si>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</si>
  <si>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</si>
  <si>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</si>
  <si>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</si>
  <si>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</si>
  <si>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</si>
  <si>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</si>
  <si>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</si>
  <si>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</si>
  <si>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</si>
  <si>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</si>
  <si>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</si>
  <si>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</si>
  <si>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</si>
  <si>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</si>
  <si>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</si>
  <si>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</si>
  <si>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</si>
  <si>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</si>
  <si>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</si>
  <si>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</si>
  <si>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</si>
  <si>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</si>
  <si>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</si>
  <si>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</si>
  <si>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</si>
  <si>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</si>
  <si>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</si>
  <si>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</si>
  <si>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</si>
  <si>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</si>
  <si>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</si>
  <si>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</si>
  <si>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</si>
  <si>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</si>
  <si>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</si>
  <si>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</si>
  <si>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</si>
  <si>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</si>
  <si>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</si>
  <si>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</si>
  <si>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</si>
  <si>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</si>
  <si>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</si>
  <si>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</si>
  <si>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</si>
  <si>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</si>
  <si>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</si>
  <si>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</si>
  <si>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</si>
  <si>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</si>
  <si>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</si>
  <si>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</si>
  <si>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</si>
  <si>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</si>
  <si>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</si>
  <si>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</si>
  <si>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</si>
  <si>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</si>
  <si>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</si>
  <si>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</si>
  <si>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</si>
  <si>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</si>
  <si>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</si>
  <si>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</si>
  <si>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</si>
  <si>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</si>
  <si>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</si>
  <si>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</si>
  <si>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</si>
  <si>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</si>
  <si>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</si>
  <si>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</si>
  <si>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</si>
  <si>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</si>
  <si>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</si>
  <si>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</si>
  <si>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</si>
  <si>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</si>
  <si>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</si>
  <si>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</si>
  <si>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</si>
  <si>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</si>
  <si>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</si>
  <si>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</si>
  <si>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</si>
  <si>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</si>
  <si>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</si>
  <si>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</si>
  <si>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</si>
  <si>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</si>
  <si>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</si>
  <si>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</si>
  <si>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</si>
  <si>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</si>
  <si>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</si>
  <si>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</si>
  <si>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</si>
  <si>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</si>
  <si>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</si>
  <si>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</si>
  <si>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</si>
  <si>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</si>
  <si>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</si>
  <si>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</si>
  <si>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</si>
  <si>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</si>
  <si>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</si>
  <si>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</si>
  <si>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</si>
  <si>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</si>
  <si>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</si>
  <si>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</si>
  <si>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</si>
  <si>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</si>
  <si>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</si>
  <si>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</si>
  <si>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</si>
  <si>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</si>
  <si>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</si>
  <si>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</si>
  <si>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</si>
  <si>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</si>
  <si>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</si>
  <si>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</si>
  <si>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</si>
  <si>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</si>
  <si>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</si>
  <si>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</si>
  <si>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</si>
  <si>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</si>
  <si>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</si>
  <si>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</si>
  <si>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</si>
  <si>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</si>
  <si>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</si>
  <si>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</si>
  <si>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</si>
  <si>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</si>
  <si>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</si>
  <si>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</si>
  <si>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</si>
  <si>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</si>
  <si>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</si>
  <si>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</si>
  <si>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</si>
  <si>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</si>
  <si>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</si>
  <si>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</si>
  <si>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</si>
  <si>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</si>
  <si>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</si>
  <si>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</si>
  <si>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</si>
  <si>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</si>
  <si>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</si>
  <si>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</si>
  <si>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</si>
  <si>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</si>
  <si>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</si>
  <si>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</si>
  <si>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</si>
  <si>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</si>
  <si>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</si>
  <si>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</si>
  <si>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</si>
  <si>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</si>
  <si>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</si>
  <si>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</si>
  <si>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</si>
  <si>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</si>
  <si>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</si>
  <si>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</si>
  <si>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</si>
  <si>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</si>
  <si>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</si>
  <si>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</si>
  <si>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</si>
  <si>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</si>
  <si>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</si>
  <si>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</si>
  <si>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</si>
  <si>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</si>
  <si>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</si>
  <si>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</si>
  <si>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</si>
  <si>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</si>
  <si>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</si>
  <si>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</si>
  <si>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</si>
  <si>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</si>
  <si>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</si>
  <si>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</si>
  <si>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</si>
  <si>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</si>
  <si>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</si>
  <si>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</si>
  <si>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</si>
  <si>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</si>
  <si>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</si>
  <si>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</si>
  <si>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</si>
  <si>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</si>
  <si>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</si>
  <si>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</si>
  <si>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</si>
  <si>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</si>
  <si>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</si>
  <si>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</si>
  <si>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</si>
  <si>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</si>
  <si>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</si>
  <si>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</si>
  <si>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</si>
  <si>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</si>
  <si>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</si>
  <si>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</si>
  <si>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</si>
  <si>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</si>
  <si>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</si>
  <si>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</si>
  <si>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</si>
  <si>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</si>
  <si>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</si>
  <si>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</si>
  <si>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</si>
  <si>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</si>
  <si>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</si>
  <si>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</si>
  <si>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</si>
  <si>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</si>
  <si>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</si>
  <si>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</si>
  <si>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</si>
  <si>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</si>
  <si>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</si>
  <si>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</si>
  <si>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</si>
  <si>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</si>
  <si>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</si>
  <si>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</si>
  <si>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</si>
  <si>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</si>
  <si>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</si>
  <si>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</si>
  <si>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</si>
  <si>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</si>
  <si>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</si>
  <si>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</si>
  <si>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</si>
  <si>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</si>
  <si>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</si>
  <si>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</si>
  <si>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</si>
  <si>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</si>
  <si>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</si>
  <si>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</si>
  <si>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</si>
  <si>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</si>
  <si>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</si>
  <si>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</si>
  <si>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</si>
  <si>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</si>
  <si>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</si>
  <si>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</si>
  <si>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</si>
  <si>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</si>
  <si>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</si>
  <si>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</si>
  <si>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</si>
  <si>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</si>
  <si>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</si>
  <si>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</si>
  <si>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</si>
  <si>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</si>
  <si>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</si>
  <si>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</si>
  <si>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</si>
  <si>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</si>
  <si>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</si>
  <si>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</si>
  <si>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</si>
  <si>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</si>
  <si>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</si>
  <si>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</si>
  <si>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</si>
  <si>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</si>
  <si>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</si>
  <si>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</si>
  <si>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</si>
  <si>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</si>
  <si>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</si>
  <si>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</si>
  <si>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</si>
  <si>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</si>
  <si>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</si>
  <si>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</si>
  <si>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</si>
  <si>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</si>
  <si>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</si>
  <si>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</si>
  <si>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</si>
  <si>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</si>
  <si>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</si>
  <si>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</si>
  <si>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</si>
  <si>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</si>
  <si>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</si>
  <si>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</si>
  <si>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</si>
  <si>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</si>
  <si>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</si>
  <si>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</si>
  <si>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</si>
  <si>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</si>
  <si>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</si>
  <si>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</si>
  <si>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</si>
  <si>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</si>
  <si>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</si>
  <si>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</si>
  <si>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</si>
  <si>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</si>
  <si>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</si>
  <si>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</si>
  <si>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</si>
  <si>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</si>
  <si>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</si>
  <si>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</si>
  <si>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</si>
  <si>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</si>
  <si>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</si>
  <si>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</si>
  <si>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</si>
  <si>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</si>
  <si>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</si>
  <si>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</si>
  <si>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</si>
  <si>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</si>
  <si>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</si>
  <si>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</si>
  <si>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</si>
  <si>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</si>
  <si>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</si>
  <si>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</si>
  <si>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</si>
  <si>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</si>
  <si>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</si>
  <si>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</si>
  <si>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</si>
  <si>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</si>
  <si>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</si>
  <si>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</si>
  <si>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</si>
  <si>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</si>
  <si>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</si>
  <si>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</si>
  <si>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</si>
  <si>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</si>
  <si>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</si>
  <si>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</si>
  <si>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</si>
  <si>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</si>
  <si>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</si>
  <si>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</si>
  <si>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</si>
  <si>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</si>
  <si>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</si>
  <si>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</si>
  <si>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</si>
  <si>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</si>
  <si>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</si>
  <si>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</si>
  <si>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</si>
  <si>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</si>
  <si>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</si>
  <si>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</si>
  <si>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</si>
  <si>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</si>
  <si>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</si>
  <si>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</si>
  <si>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</si>
  <si>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</si>
  <si>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</si>
  <si>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</si>
  <si>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</si>
  <si>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</si>
  <si>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</si>
  <si>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</si>
  <si>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</si>
  <si>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</si>
  <si>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</si>
  <si>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</si>
  <si>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</si>
  <si>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</si>
  <si>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</si>
  <si>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</si>
  <si>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</si>
  <si>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</si>
  <si>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</si>
  <si>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</si>
  <si>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</si>
  <si>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</si>
  <si>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</si>
  <si>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</si>
  <si>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</si>
  <si>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</si>
  <si>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</si>
  <si>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</si>
  <si>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</si>
  <si>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</si>
  <si>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</si>
  <si>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</si>
  <si>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</si>
  <si>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</si>
  <si>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</si>
  <si>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</si>
  <si>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</si>
  <si>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</si>
  <si>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</si>
  <si>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</si>
  <si>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</si>
  <si>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</si>
  <si>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</si>
  <si>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</si>
  <si>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</si>
  <si>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</si>
  <si>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</si>
  <si>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</si>
  <si>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</si>
  <si>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</si>
  <si>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</si>
  <si>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</si>
  <si>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</si>
  <si>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</si>
  <si>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</si>
  <si>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</si>
  <si>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</si>
  <si>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</si>
  <si>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</si>
  <si>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</si>
  <si>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</si>
  <si>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</si>
  <si>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</si>
  <si>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</si>
  <si>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</si>
  <si>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</si>
  <si>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</si>
  <si>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</si>
  <si>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</si>
  <si>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</si>
  <si>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</si>
  <si>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</si>
  <si>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</si>
  <si>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</si>
  <si>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</si>
  <si>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</si>
  <si>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</si>
  <si>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</si>
  <si>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</si>
  <si>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</si>
  <si>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</si>
  <si>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</si>
  <si>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</si>
  <si>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</si>
  <si>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</si>
  <si>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</si>
  <si>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</si>
  <si>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</si>
  <si>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</si>
  <si>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</si>
  <si>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</si>
  <si>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</si>
  <si>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</si>
  <si>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</si>
  <si>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</si>
  <si>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</si>
  <si>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</si>
  <si>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</si>
  <si>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</si>
  <si>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</si>
  <si>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</si>
  <si>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</si>
  <si>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</si>
  <si>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</si>
  <si>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</si>
  <si>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</si>
  <si>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</si>
  <si>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</si>
  <si>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</si>
  <si>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</si>
  <si>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</si>
  <si>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</si>
  <si>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</si>
  <si>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</si>
  <si>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</si>
  <si>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</si>
  <si>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</si>
  <si>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</si>
  <si>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</si>
  <si>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</si>
  <si>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</si>
  <si>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</si>
  <si>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</si>
  <si>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</si>
  <si>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</si>
  <si>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</si>
  <si>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</si>
  <si>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</si>
  <si>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</si>
  <si>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</si>
  <si>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</si>
  <si>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</si>
  <si>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</si>
  <si>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</si>
  <si>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</si>
  <si>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</si>
  <si>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</si>
  <si>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</si>
  <si>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</si>
  <si>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</si>
  <si>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</si>
  <si>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</si>
  <si>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</si>
  <si>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</si>
  <si>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</si>
  <si>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</si>
  <si>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</si>
  <si>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</si>
  <si>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</si>
  <si>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</si>
  <si>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</si>
  <si>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</si>
  <si>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</si>
  <si>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</si>
  <si>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</si>
  <si>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</si>
  <si>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</si>
  <si>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</si>
  <si>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</si>
  <si>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</si>
  <si>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</si>
  <si>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</si>
  <si>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</si>
  <si>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</si>
  <si>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</si>
  <si>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</si>
  <si>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</si>
  <si>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</si>
  <si>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</si>
  <si>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</si>
  <si>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</si>
  <si>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</si>
  <si>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</si>
  <si>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</si>
  <si>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</si>
  <si>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</si>
  <si>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</si>
  <si>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</si>
  <si>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</si>
  <si>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</si>
  <si>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</si>
  <si>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</si>
  <si>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</si>
  <si>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</si>
  <si>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</si>
  <si>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</si>
  <si>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</si>
  <si>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</si>
  <si>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</si>
  <si>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</si>
  <si>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</si>
  <si>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</si>
  <si>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</si>
  <si>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</si>
  <si>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</si>
  <si>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</si>
  <si>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</si>
  <si>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</si>
  <si>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</si>
  <si>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</si>
  <si>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</si>
  <si>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</si>
  <si>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</si>
  <si>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</si>
  <si>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</si>
  <si>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</si>
  <si>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</si>
  <si>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</si>
  <si>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</si>
  <si>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</si>
  <si>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</si>
  <si>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</si>
  <si>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</si>
  <si>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</si>
  <si>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</si>
  <si>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</si>
  <si>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</si>
  <si>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</si>
  <si>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</si>
  <si>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</si>
  <si>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</si>
  <si>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</si>
  <si>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</si>
  <si>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</si>
  <si>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</si>
  <si>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</si>
  <si>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</si>
  <si>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</si>
  <si>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</si>
  <si>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</si>
  <si>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</si>
  <si>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</si>
  <si>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</si>
  <si>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</si>
  <si>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</si>
  <si>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</si>
  <si>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</si>
  <si>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</si>
  <si>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</si>
  <si>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</si>
  <si>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</si>
  <si>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</si>
  <si>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</si>
  <si>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</si>
  <si>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</si>
  <si>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</si>
  <si>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</si>
  <si>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</si>
  <si>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</si>
  <si>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</si>
  <si>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</si>
  <si>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</si>
  <si>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</si>
  <si>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</si>
  <si>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</si>
  <si>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</si>
  <si>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</si>
  <si>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</si>
  <si>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</si>
  <si>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</si>
  <si>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</si>
  <si>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</si>
  <si>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</si>
  <si>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</si>
  <si>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</si>
  <si>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</si>
  <si>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</si>
  <si>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</si>
  <si>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</si>
  <si>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</si>
  <si>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</si>
  <si>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</si>
  <si>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</si>
  <si>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</si>
  <si>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</si>
  <si>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</si>
  <si>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</si>
  <si>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</si>
  <si>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</si>
  <si>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</si>
  <si>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</si>
  <si>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</si>
  <si>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</si>
  <si>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</si>
  <si>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</si>
  <si>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</si>
  <si>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</si>
  <si>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</si>
  <si>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</si>
  <si>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</si>
  <si>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</si>
  <si>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</si>
  <si>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</si>
  <si>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</si>
  <si>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</si>
  <si>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</si>
  <si>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</si>
  <si>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</si>
  <si>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</si>
  <si>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</si>
  <si>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</si>
  <si>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</si>
  <si>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</si>
  <si>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</si>
  <si>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</si>
  <si>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</si>
  <si>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</si>
  <si>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</si>
  <si>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</si>
  <si>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</si>
  <si>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</si>
  <si>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</si>
  <si>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</si>
  <si>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</si>
  <si>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</si>
  <si>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</si>
  <si>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</si>
  <si>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</si>
  <si>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</si>
  <si>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</si>
  <si>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</si>
  <si>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</si>
  <si>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</si>
  <si>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</si>
  <si>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</si>
  <si>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</si>
  <si>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</si>
  <si>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</si>
  <si>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</si>
  <si>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</si>
  <si>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</si>
  <si>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</si>
  <si>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</si>
  <si>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</si>
  <si>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</si>
  <si>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</si>
  <si>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</si>
  <si>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</si>
  <si>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</si>
  <si>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</si>
  <si>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</si>
  <si>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</si>
  <si>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</si>
  <si>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</si>
  <si>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</si>
  <si>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</si>
  <si>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</si>
  <si>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</si>
  <si>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</si>
  <si>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</si>
  <si>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</si>
  <si>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</si>
  <si>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</si>
  <si>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</si>
  <si>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</si>
  <si>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</si>
  <si>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</si>
  <si>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</si>
  <si>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</si>
  <si>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</si>
  <si>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</si>
  <si>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</si>
  <si>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</si>
  <si>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</si>
  <si>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</si>
  <si>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</si>
  <si>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</si>
  <si>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</si>
  <si>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</si>
  <si>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</si>
  <si>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</si>
  <si>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</si>
  <si>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</si>
  <si>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</si>
  <si>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</si>
  <si>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</si>
  <si>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</si>
  <si>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</si>
  <si>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</si>
  <si>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</si>
  <si>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</si>
  <si>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</si>
  <si>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</si>
  <si>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</si>
  <si>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</si>
  <si>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</si>
  <si>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</si>
  <si>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</si>
  <si>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</si>
  <si>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</si>
  <si>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</si>
  <si>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</si>
  <si>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</si>
  <si>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</si>
  <si>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</si>
  <si>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</si>
  <si>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</si>
  <si>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</si>
  <si>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</si>
  <si>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</si>
  <si>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</si>
  <si>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</si>
  <si>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</si>
  <si>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</si>
  <si>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</si>
  <si>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</si>
  <si>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</si>
  <si>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</si>
  <si>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</si>
  <si>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</si>
  <si>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</si>
  <si>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</si>
  <si>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</si>
  <si>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</si>
  <si>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</si>
  <si>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</si>
  <si>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</si>
  <si>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</si>
  <si>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</si>
  <si>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</si>
  <si>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</si>
  <si>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</si>
  <si>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</si>
  <si>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</si>
  <si>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</si>
  <si>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</si>
  <si>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</si>
  <si>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</si>
  <si>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</si>
  <si>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</si>
  <si>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</si>
  <si>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</si>
  <si>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</si>
  <si>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</si>
  <si>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</si>
  <si>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</si>
  <si>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</si>
  <si>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</si>
  <si>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</si>
  <si>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</si>
  <si>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</si>
  <si>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</si>
  <si>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</si>
  <si>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</si>
  <si>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</si>
  <si>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</si>
  <si>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</si>
  <si>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</si>
  <si>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</si>
  <si>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</si>
  <si>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</si>
  <si>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</si>
  <si>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</si>
  <si>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</si>
  <si>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</si>
  <si>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</si>
  <si>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</si>
  <si>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</si>
  <si>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</si>
  <si>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</si>
  <si>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</si>
  <si>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</si>
  <si>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</si>
  <si>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</si>
  <si>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</si>
  <si>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</si>
  <si>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</si>
  <si>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</si>
  <si>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</si>
  <si>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</si>
  <si>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</si>
  <si>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</si>
  <si>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</si>
  <si>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</si>
  <si>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</si>
  <si>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</si>
  <si>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</si>
  <si>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</si>
  <si>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</si>
  <si>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</si>
  <si>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</si>
  <si>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</si>
  <si>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</si>
  <si>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</si>
  <si>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</si>
  <si>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</si>
  <si>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</si>
  <si>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</si>
  <si>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</si>
  <si>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</si>
  <si>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</si>
  <si>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</si>
  <si>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</si>
  <si>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</si>
  <si>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</si>
  <si>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</si>
  <si>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</si>
  <si>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</si>
  <si>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</si>
  <si>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</si>
  <si>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</si>
  <si>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</si>
  <si>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</si>
  <si>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</si>
  <si>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</si>
  <si>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</si>
  <si>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</si>
  <si>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</si>
  <si>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</si>
  <si>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</si>
  <si>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</si>
  <si>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</si>
  <si>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</si>
  <si>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</si>
  <si>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</si>
  <si>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</si>
  <si>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</si>
  <si>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</si>
  <si>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</si>
  <si>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</si>
  <si>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</si>
  <si>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</si>
  <si>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</si>
  <si>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</si>
  <si>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</si>
  <si>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</si>
  <si>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</si>
  <si>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</si>
  <si>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</si>
  <si>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</si>
  <si>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</si>
  <si>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</si>
  <si>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</si>
  <si>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</si>
  <si>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</si>
  <si>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</si>
  <si>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</si>
  <si>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</si>
  <si>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</si>
  <si>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</si>
  <si>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</si>
  <si>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</si>
  <si>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</si>
  <si>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</si>
  <si>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</si>
  <si>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</si>
  <si>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</si>
  <si>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</si>
  <si>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</si>
  <si>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</si>
  <si>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</si>
  <si>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</si>
  <si>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</si>
  <si>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</si>
  <si>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</si>
  <si>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</si>
  <si>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</si>
  <si>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</si>
  <si>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</si>
  <si>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</si>
  <si>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</si>
  <si>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</si>
  <si>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</si>
  <si>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</si>
  <si>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</si>
  <si>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</si>
  <si>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</si>
  <si>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</si>
  <si>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</si>
  <si>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</si>
  <si>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</si>
  <si>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</si>
  <si>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</si>
  <si>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</si>
  <si>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</si>
  <si>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</si>
  <si>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</si>
  <si>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</si>
  <si>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</si>
  <si>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</si>
  <si>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</si>
  <si>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</si>
  <si>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</si>
  <si>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</si>
  <si>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</si>
  <si>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</si>
  <si>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</si>
  <si>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</si>
  <si>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</si>
  <si>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</si>
  <si>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</si>
  <si>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</si>
  <si>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</si>
  <si>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</si>
  <si>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</si>
  <si>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</si>
  <si>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</si>
  <si>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</si>
  <si>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</si>
  <si>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</si>
  <si>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</si>
  <si>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</si>
  <si>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</si>
  <si>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</si>
  <si>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</si>
  <si>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</si>
  <si>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</si>
  <si>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</si>
  <si>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</si>
  <si>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</si>
  <si>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</si>
  <si>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</si>
  <si>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</si>
  <si>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</si>
  <si>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</si>
  <si>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</si>
  <si>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</si>
  <si>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</si>
  <si>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</si>
  <si>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</si>
  <si>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</si>
  <si>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</si>
  <si>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</si>
  <si>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</si>
  <si>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</si>
  <si>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</si>
  <si>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</si>
  <si>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</si>
  <si>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</si>
  <si>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</si>
  <si>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</si>
  <si>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</si>
  <si>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</si>
  <si>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</si>
  <si>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</si>
  <si>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</si>
  <si>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</si>
  <si>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</si>
  <si>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</si>
  <si>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</si>
  <si>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</si>
  <si>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</si>
  <si>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</si>
  <si>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</si>
  <si>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</si>
  <si>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</si>
  <si>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</si>
  <si>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</si>
  <si>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</si>
  <si>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</si>
  <si>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</si>
  <si>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</si>
  <si>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</si>
  <si>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</si>
  <si>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</si>
  <si>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</si>
  <si>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</si>
  <si>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</si>
  <si>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</si>
  <si>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</si>
  <si>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</si>
  <si>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</si>
  <si>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</si>
  <si>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</si>
  <si>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</si>
  <si>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</si>
  <si>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</si>
  <si>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</si>
  <si>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</si>
  <si>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</si>
  <si>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</si>
  <si>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</si>
  <si>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</si>
  <si>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</si>
  <si>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</si>
  <si>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</si>
  <si>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</si>
  <si>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</si>
  <si>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</si>
  <si>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</si>
  <si>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</si>
  <si>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</si>
  <si>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</si>
  <si>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</si>
  <si>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</si>
  <si>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</si>
  <si>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</si>
  <si>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</si>
  <si>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</si>
  <si>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</si>
  <si>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</si>
  <si>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</si>
  <si>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</si>
  <si>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</si>
  <si>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</si>
  <si>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</si>
  <si>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</si>
  <si>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</si>
  <si>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</si>
  <si>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</si>
  <si>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</si>
  <si>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</si>
  <si>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</si>
  <si>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</si>
  <si>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</si>
  <si>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</si>
  <si>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</si>
  <si>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</si>
  <si>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</si>
  <si>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</si>
  <si>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</si>
  <si>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</si>
  <si>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</si>
  <si>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</si>
  <si>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</si>
  <si>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</si>
  <si>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</si>
  <si>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</si>
  <si>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</si>
  <si>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</si>
  <si>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</si>
  <si>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</si>
  <si>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</si>
  <si>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</si>
  <si>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</si>
  <si>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</si>
  <si>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</si>
  <si>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</si>
  <si>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</si>
  <si>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</si>
  <si>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</si>
  <si>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</si>
  <si>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</si>
  <si>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</si>
  <si>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</si>
  <si>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</si>
  <si>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</si>
  <si>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</si>
  <si>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</si>
  <si>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</si>
  <si>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</si>
  <si>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</si>
  <si>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</si>
  <si>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</si>
  <si>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</si>
  <si>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</si>
  <si>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</si>
  <si>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</si>
  <si>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</si>
  <si>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</si>
  <si>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</si>
  <si>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</si>
  <si>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</si>
  <si>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</si>
  <si>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</si>
  <si>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</si>
  <si>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</si>
  <si>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</si>
  <si>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</si>
  <si>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</si>
  <si>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</si>
  <si>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</si>
  <si>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</si>
  <si>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</si>
  <si>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</si>
  <si>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</si>
  <si>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</si>
  <si>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</si>
  <si>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</si>
  <si>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</si>
  <si>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</si>
  <si>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</si>
  <si>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</si>
  <si>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</si>
  <si>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</si>
  <si>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</si>
  <si>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</si>
  <si>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</si>
  <si>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</si>
  <si>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</si>
  <si>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</si>
  <si>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</si>
  <si>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</si>
  <si>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</si>
  <si>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</si>
  <si>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</si>
  <si>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</si>
  <si>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</si>
  <si>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</si>
  <si>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</si>
  <si>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</si>
  <si>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</si>
  <si>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</si>
  <si>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</si>
  <si>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</si>
  <si>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</si>
  <si>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</si>
  <si>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</si>
  <si>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</si>
  <si>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</si>
  <si>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</si>
  <si>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</si>
  <si>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</si>
  <si>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</si>
  <si>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</si>
  <si>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</si>
  <si>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</si>
  <si>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</si>
  <si>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</si>
  <si>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</si>
  <si>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</si>
  <si>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</si>
  <si>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</si>
  <si>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</si>
  <si>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</si>
  <si>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</si>
  <si>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</si>
  <si>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</si>
  <si>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</si>
  <si>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</si>
  <si>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</si>
  <si>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</si>
  <si>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</si>
  <si>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</si>
  <si>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</si>
  <si>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</si>
  <si>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</si>
  <si>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</si>
  <si>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</si>
  <si>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</si>
  <si>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</si>
  <si>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</si>
  <si>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</si>
  <si>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</si>
  <si>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</si>
  <si>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</si>
  <si>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</si>
  <si>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</si>
  <si>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</si>
  <si>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</si>
  <si>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</si>
  <si>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</si>
  <si>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</si>
  <si>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</si>
  <si>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</si>
  <si>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</si>
  <si>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</si>
  <si>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</si>
  <si>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</si>
  <si>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</si>
  <si>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</si>
  <si>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</si>
  <si>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</si>
  <si>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</si>
  <si>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</si>
  <si>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</si>
  <si>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</si>
  <si>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</si>
  <si>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</si>
  <si>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</si>
  <si>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</si>
  <si>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</si>
  <si>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</si>
  <si>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</si>
  <si>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</si>
  <si>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</si>
  <si>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</si>
  <si>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</si>
  <si>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</si>
  <si>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</si>
  <si>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</si>
  <si>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</si>
  <si>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</si>
  <si>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</si>
  <si>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</si>
  <si>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</si>
  <si>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</si>
  <si>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</si>
  <si>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</si>
  <si>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</si>
  <si>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</si>
  <si>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</si>
  <si>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</si>
  <si>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</si>
  <si>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</si>
  <si>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</si>
  <si>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</si>
  <si>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</si>
  <si>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</si>
  <si>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</si>
  <si>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</si>
  <si>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</si>
  <si>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</si>
  <si>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</si>
  <si>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</si>
  <si>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</si>
  <si>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</si>
  <si>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</si>
  <si>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</si>
  <si>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</si>
  <si>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</si>
  <si>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</si>
  <si>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</si>
  <si>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</si>
  <si>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</si>
  <si>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</si>
  <si>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</si>
  <si>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</si>
  <si>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</si>
  <si>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</si>
  <si>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</si>
  <si>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</si>
  <si>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</si>
  <si>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</si>
  <si>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</si>
  <si>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</si>
  <si>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</si>
  <si>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</si>
  <si>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</si>
  <si>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</si>
  <si>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</si>
  <si>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</si>
  <si>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</si>
  <si>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</si>
  <si>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</si>
  <si>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</si>
  <si>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</si>
  <si>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</si>
  <si>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</si>
  <si>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</si>
  <si>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</si>
  <si>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</si>
  <si>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</si>
  <si>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</si>
  <si>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</si>
  <si>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</si>
  <si>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</si>
  <si>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</si>
  <si>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</si>
  <si>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</si>
  <si>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</si>
  <si>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</si>
  <si>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</si>
  <si>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</si>
  <si>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</si>
  <si>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</si>
  <si>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</si>
  <si>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</si>
  <si>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</si>
  <si>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</si>
  <si>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</si>
  <si>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</si>
  <si>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</si>
  <si>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</si>
  <si>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</si>
  <si>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</si>
  <si>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</si>
  <si>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</si>
  <si>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</si>
  <si>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</si>
  <si>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</si>
  <si>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</si>
  <si>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</si>
  <si>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</si>
  <si>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</si>
  <si>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</si>
  <si>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</si>
  <si>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</si>
  <si>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</si>
  <si>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</si>
  <si>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</si>
  <si>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</si>
  <si>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</si>
  <si>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</si>
  <si>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</si>
  <si>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</si>
  <si>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</si>
  <si>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</si>
  <si>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</si>
  <si>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</si>
  <si>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</si>
  <si>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</si>
  <si>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</si>
  <si>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</si>
  <si>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</si>
  <si>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</si>
  <si>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</si>
  <si>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</si>
  <si>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</si>
  <si>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</si>
  <si>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</si>
  <si>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</si>
  <si>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</si>
  <si>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</si>
  <si>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</si>
  <si>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</si>
  <si>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</si>
  <si>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</si>
  <si>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</si>
  <si>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</si>
  <si>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</si>
  <si>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</si>
  <si>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</si>
  <si>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</si>
  <si>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</si>
  <si>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</si>
  <si>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</si>
  <si>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</si>
  <si>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</si>
  <si>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</si>
  <si>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</si>
  <si>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</si>
  <si>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</si>
  <si>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</si>
  <si>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</si>
  <si>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</si>
  <si>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</si>
  <si>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</si>
  <si>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</si>
  <si>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</si>
  <si>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</si>
  <si>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</si>
  <si>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</si>
  <si>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</si>
  <si>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</si>
  <si>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</si>
  <si>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</si>
  <si>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</si>
  <si>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</si>
  <si>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</si>
  <si>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</si>
  <si>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</si>
  <si>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</si>
  <si>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</si>
  <si>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</si>
  <si>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</si>
  <si>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</si>
  <si>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</si>
  <si>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</si>
  <si>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</si>
  <si>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</si>
  <si>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</si>
  <si>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</si>
  <si>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</si>
  <si>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</si>
  <si>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</si>
  <si>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</si>
  <si>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</si>
  <si>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</si>
  <si>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</si>
  <si>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</si>
  <si>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</si>
  <si>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</si>
  <si>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</si>
  <si>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</si>
  <si>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</si>
  <si>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</si>
  <si>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</si>
  <si>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</si>
  <si>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</si>
  <si>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</si>
  <si>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</si>
  <si>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</si>
  <si>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</si>
  <si>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</si>
  <si>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</si>
  <si>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</si>
  <si>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</si>
  <si>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</si>
  <si>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</si>
  <si>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</si>
  <si>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</si>
  <si>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</si>
  <si>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</si>
  <si>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</si>
  <si>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</si>
  <si>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</si>
  <si>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</si>
  <si>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</si>
  <si>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</si>
  <si>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</si>
  <si>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</si>
  <si>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</si>
  <si>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</si>
  <si>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</si>
  <si>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</si>
  <si>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</si>
  <si>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</si>
  <si>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</si>
  <si>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</si>
  <si>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</si>
  <si>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</si>
  <si>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</si>
  <si>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</si>
  <si>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</si>
  <si>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</si>
  <si>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</si>
  <si>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</si>
  <si>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</si>
  <si>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</si>
  <si>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</si>
  <si>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</si>
  <si>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</si>
  <si>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</si>
  <si>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</si>
  <si>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</si>
  <si>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</si>
  <si>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</si>
  <si>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</si>
  <si>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</si>
  <si>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</si>
  <si>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</si>
  <si>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</si>
  <si>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</si>
  <si>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</si>
  <si>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</si>
  <si>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</si>
  <si>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</si>
  <si>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</si>
  <si>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</si>
  <si>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</si>
  <si>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</si>
  <si>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</si>
  <si>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</si>
  <si>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</si>
  <si>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</si>
  <si>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</si>
  <si>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</si>
  <si>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</si>
  <si>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</si>
  <si>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</si>
  <si>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</si>
  <si>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</si>
  <si>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</si>
  <si>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</si>
  <si>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</si>
  <si>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</si>
  <si>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</si>
  <si>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</si>
  <si>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</si>
  <si>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</si>
  <si>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</si>
  <si>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</si>
  <si>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</si>
  <si>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</si>
  <si>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</si>
  <si>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</si>
  <si>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</si>
  <si>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</si>
  <si>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</si>
  <si>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</si>
  <si>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</si>
  <si>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</si>
  <si>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</si>
  <si>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</si>
  <si>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</si>
  <si>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</si>
  <si>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</si>
  <si>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</si>
  <si>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</si>
  <si>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</si>
  <si>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</si>
  <si>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</si>
  <si>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</si>
  <si>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</si>
  <si>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</si>
  <si>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</si>
  <si>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</si>
  <si>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</si>
  <si>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</si>
  <si>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</si>
  <si>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</si>
  <si>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</si>
  <si>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</si>
  <si>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</si>
  <si>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</si>
  <si>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</si>
  <si>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</si>
  <si>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</si>
  <si>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</si>
  <si>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</si>
  <si>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</si>
  <si>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</si>
  <si>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</si>
  <si>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</si>
  <si>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</si>
  <si>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</si>
  <si>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</si>
  <si>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</si>
  <si>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</si>
  <si>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</si>
  <si>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</si>
  <si>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</si>
  <si>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</si>
  <si>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</si>
  <si>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</si>
  <si>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</si>
  <si>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</si>
  <si>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</si>
  <si>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</si>
  <si>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</si>
  <si>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</si>
  <si>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</si>
  <si>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</si>
  <si>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</si>
  <si>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</si>
  <si>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</si>
  <si>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</si>
  <si>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</si>
  <si>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</si>
  <si>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</si>
  <si>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</si>
  <si>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</si>
  <si>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</si>
  <si>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</si>
  <si>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</si>
  <si>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</si>
  <si>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</si>
  <si>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</si>
  <si>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</si>
  <si>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</si>
  <si>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</si>
  <si>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</si>
  <si>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</si>
  <si>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</si>
  <si>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</si>
  <si>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</si>
  <si>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</si>
  <si>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</si>
  <si>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</si>
  <si>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</si>
  <si>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</si>
  <si>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</si>
  <si>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</si>
  <si>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</si>
  <si>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</si>
  <si>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</si>
  <si>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</si>
  <si>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</si>
  <si>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</si>
  <si>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</si>
  <si>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</si>
  <si>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</si>
  <si>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</si>
  <si>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</si>
  <si>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</si>
  <si>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</si>
  <si>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</si>
  <si>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</si>
  <si>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</si>
  <si>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</si>
  <si>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</si>
  <si>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</si>
  <si>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</si>
  <si>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</si>
  <si>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</si>
  <si>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</si>
  <si>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</si>
  <si>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</si>
  <si>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</si>
  <si>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</si>
  <si>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</si>
  <si>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</si>
  <si>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</si>
  <si>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</si>
  <si>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</si>
  <si>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</si>
  <si>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</si>
  <si>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</si>
  <si>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</si>
  <si>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</si>
  <si>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</si>
  <si>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</si>
  <si>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</si>
  <si>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</si>
  <si>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</si>
  <si>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</si>
  <si>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</si>
  <si>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</si>
  <si>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</si>
  <si>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</si>
  <si>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</si>
  <si>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</si>
  <si>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</si>
  <si>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</si>
  <si>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</si>
  <si>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</si>
  <si>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</si>
  <si>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</si>
  <si>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</si>
  <si>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</si>
  <si>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</si>
  <si>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</si>
  <si>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</si>
  <si>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</si>
  <si>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</si>
  <si>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</si>
  <si>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</si>
  <si>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</si>
  <si>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</si>
  <si>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</si>
  <si>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</si>
  <si>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</si>
  <si>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</si>
  <si>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</si>
  <si>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</si>
  <si>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</si>
  <si>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</si>
  <si>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</si>
  <si>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</si>
  <si>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</si>
  <si>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</si>
  <si>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</si>
  <si>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</si>
  <si>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</si>
  <si>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</si>
  <si>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</si>
  <si>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</si>
  <si>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</si>
  <si>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</si>
  <si>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</si>
  <si>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</si>
  <si>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</si>
  <si>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</si>
  <si>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</si>
  <si>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</si>
  <si>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</si>
  <si>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</si>
  <si>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</si>
  <si>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</si>
  <si>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</si>
  <si>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</si>
  <si>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</si>
  <si>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</si>
  <si>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</si>
  <si>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</si>
  <si>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</si>
  <si>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</si>
  <si>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</si>
  <si>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</si>
  <si>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</si>
  <si>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</si>
  <si>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</si>
  <si>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</si>
  <si>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</si>
  <si>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</si>
  <si>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</si>
  <si>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</si>
  <si>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</si>
  <si>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</si>
  <si>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</si>
  <si>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</si>
  <si>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</si>
  <si>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</si>
  <si>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</si>
  <si>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</si>
  <si>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</si>
  <si>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</si>
  <si>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</si>
  <si>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</si>
  <si>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</si>
  <si>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</si>
  <si>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</si>
  <si>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</si>
  <si>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</si>
  <si>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</si>
  <si>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</si>
  <si>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</si>
  <si>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</si>
  <si>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</si>
  <si>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</si>
  <si>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</si>
  <si>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</si>
  <si>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</si>
  <si>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</si>
  <si>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</si>
  <si>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</si>
  <si>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</si>
  <si>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</si>
  <si>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</si>
  <si>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</si>
  <si>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</si>
  <si>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</si>
  <si>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</si>
  <si>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</si>
  <si>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</si>
  <si>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</si>
  <si>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</si>
  <si>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</si>
  <si>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</si>
  <si>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</si>
  <si>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</si>
  <si>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</si>
  <si>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</si>
  <si>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</si>
  <si>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</si>
  <si>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</si>
  <si>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</si>
  <si>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</si>
  <si>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</si>
  <si>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</si>
  <si>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</si>
  <si>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</si>
  <si>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</si>
  <si>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</si>
  <si>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</si>
  <si>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</si>
  <si>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</si>
  <si>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</si>
  <si>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</si>
  <si>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</si>
  <si>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</si>
  <si>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</si>
  <si>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</si>
  <si>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</si>
  <si>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</si>
  <si>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</si>
  <si>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</si>
  <si>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</si>
  <si>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</si>
  <si>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</si>
  <si>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</si>
  <si>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</si>
  <si>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</si>
  <si>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</si>
  <si>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</si>
  <si>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</si>
  <si>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</si>
  <si>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</si>
  <si>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</si>
  <si>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</si>
  <si>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</si>
  <si>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</si>
  <si>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</si>
  <si>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</si>
  <si>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</si>
  <si>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</si>
  <si>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</si>
  <si>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</si>
  <si>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</si>
  <si>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</si>
  <si>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</si>
  <si>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</si>
  <si>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</si>
  <si>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</si>
  <si>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</si>
  <si>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</si>
  <si>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</si>
  <si>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</si>
  <si>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</si>
  <si>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</si>
  <si>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</si>
  <si>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</si>
  <si>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</si>
  <si>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</si>
  <si>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</si>
  <si>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</si>
  <si>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</si>
  <si>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</si>
  <si>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</si>
  <si>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</si>
  <si>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</si>
  <si>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</si>
  <si>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</si>
  <si>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</si>
  <si>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</si>
  <si>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</si>
  <si>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</si>
  <si>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</si>
  <si>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</si>
  <si>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</si>
  <si>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</si>
  <si>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</si>
  <si>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</si>
  <si>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</si>
  <si>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</si>
  <si>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</si>
  <si>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</si>
  <si>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</si>
  <si>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</si>
  <si>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</si>
  <si>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</si>
  <si>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</si>
  <si>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</si>
  <si>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</si>
  <si>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</si>
  <si>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</si>
  <si>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</si>
  <si>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</si>
  <si>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</si>
  <si>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</si>
  <si>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</si>
  <si>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</si>
  <si>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</si>
  <si>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</si>
  <si>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</si>
  <si>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</si>
  <si>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</si>
  <si>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</si>
  <si>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</si>
  <si>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</si>
  <si>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</si>
  <si>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</si>
  <si>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</si>
  <si>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</si>
  <si>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</si>
  <si>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</si>
  <si>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</si>
  <si>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</si>
  <si>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</si>
  <si>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</si>
  <si>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</si>
  <si>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</si>
  <si>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</si>
  <si>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</si>
  <si>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</si>
  <si>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</si>
  <si>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</si>
  <si>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</si>
  <si>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</si>
  <si>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</si>
  <si>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</si>
  <si>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</si>
  <si>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</si>
  <si>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</si>
  <si>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</si>
  <si>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</si>
  <si>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</si>
  <si>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</si>
  <si>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</si>
  <si>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</si>
  <si>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</si>
  <si>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</si>
  <si>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</si>
  <si>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</si>
  <si>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</si>
  <si>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</si>
  <si>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</si>
  <si>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</si>
  <si>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</si>
  <si>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</si>
  <si>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</si>
  <si>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</si>
  <si>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</si>
  <si>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</si>
  <si>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</si>
  <si>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</si>
  <si>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</si>
  <si>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</si>
  <si>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</si>
  <si>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</si>
  <si>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</si>
  <si>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</si>
  <si>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</si>
  <si>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</si>
  <si>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</si>
  <si>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</si>
  <si>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</si>
  <si>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</si>
  <si>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</si>
  <si>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</si>
  <si>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</si>
  <si>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</si>
  <si>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</si>
  <si>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</si>
  <si>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</si>
  <si>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</si>
  <si>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</si>
  <si>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</si>
  <si>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</si>
  <si>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</si>
  <si>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</si>
  <si>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</si>
  <si>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</si>
  <si>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</si>
  <si>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</si>
  <si>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</si>
  <si>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</si>
  <si>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</si>
  <si>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</si>
  <si>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</si>
  <si>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</si>
  <si>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</si>
  <si>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</si>
  <si>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</si>
  <si>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</si>
  <si>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</si>
  <si>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</si>
  <si>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</si>
  <si>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</si>
  <si>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</si>
  <si>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</si>
  <si>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</si>
  <si>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</si>
  <si>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</si>
  <si>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</si>
  <si>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</si>
  <si>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</si>
  <si>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</si>
  <si>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</si>
  <si>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</si>
  <si>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</si>
  <si>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</si>
  <si>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</si>
  <si>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</si>
  <si>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</si>
  <si>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</si>
  <si>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</si>
  <si>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</si>
  <si>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</si>
  <si>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</si>
  <si>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</si>
  <si>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</si>
  <si>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</si>
  <si>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</si>
  <si>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</si>
  <si>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</si>
  <si>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</si>
  <si>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</si>
  <si>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</si>
  <si>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</si>
  <si>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</si>
  <si>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</si>
  <si>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</si>
  <si>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</si>
  <si>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</si>
  <si>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</si>
  <si>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</si>
  <si>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</si>
  <si>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</si>
  <si>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</si>
  <si>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</si>
  <si>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</si>
  <si>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</si>
  <si>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</si>
  <si>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</si>
  <si>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</si>
  <si>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</si>
  <si>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</si>
  <si>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</si>
  <si>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</si>
  <si>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</si>
  <si>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</si>
  <si>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</si>
  <si>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</si>
  <si>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</si>
  <si>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</si>
  <si>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</si>
  <si>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</si>
  <si>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</si>
  <si>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</si>
  <si>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</si>
  <si>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</si>
  <si>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</si>
  <si>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</si>
  <si>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</si>
  <si>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</si>
  <si>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</si>
  <si>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</si>
  <si>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</si>
  <si>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</si>
  <si>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</si>
  <si>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</si>
  <si>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</si>
  <si>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</si>
  <si>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</si>
  <si>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</si>
  <si>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</si>
  <si>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</si>
  <si>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</si>
  <si>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</si>
  <si>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</si>
  <si>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</si>
  <si>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</si>
  <si>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</si>
  <si>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</si>
  <si>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</si>
  <si>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</si>
  <si>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</si>
  <si>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</si>
  <si>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</si>
  <si>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</si>
  <si>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</si>
  <si>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</si>
  <si>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</si>
  <si>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</si>
  <si>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</si>
  <si>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</si>
  <si>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</si>
  <si>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</si>
  <si>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</si>
  <si>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</si>
  <si>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</si>
  <si>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</si>
  <si>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</si>
  <si>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</si>
  <si>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</si>
  <si>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</si>
  <si>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</si>
  <si>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</si>
  <si>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</si>
  <si>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</si>
  <si>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</si>
  <si>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</si>
  <si>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</si>
  <si>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</si>
  <si>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</si>
  <si>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</si>
  <si>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</si>
  <si>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</si>
  <si>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</si>
  <si>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</si>
  <si>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</si>
  <si>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</si>
  <si>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</si>
  <si>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</si>
  <si>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</si>
  <si>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</si>
  <si>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</si>
  <si>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</si>
  <si>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</si>
  <si>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</si>
  <si>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</si>
  <si>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</si>
  <si>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</si>
  <si>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</si>
  <si>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</si>
  <si>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</si>
  <si>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</si>
  <si>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</si>
  <si>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</si>
  <si>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</si>
  <si>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</si>
  <si>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</si>
  <si>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</si>
  <si>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</si>
  <si>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</si>
  <si>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</si>
  <si>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</si>
  <si>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</si>
  <si>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</si>
  <si>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</si>
  <si>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</si>
  <si>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</si>
  <si>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</si>
  <si>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</si>
  <si>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</si>
  <si>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</si>
  <si>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</si>
  <si>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</si>
  <si>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</si>
  <si>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</si>
  <si>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</si>
  <si>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</si>
  <si>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</si>
  <si>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</si>
  <si>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</si>
  <si>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</si>
  <si>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</si>
  <si>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</si>
  <si>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</si>
  <si>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</si>
  <si>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</si>
  <si>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</si>
  <si>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</si>
  <si>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</si>
  <si>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</si>
  <si>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</si>
  <si>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</si>
  <si>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</si>
  <si>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</si>
  <si>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</si>
  <si>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</si>
  <si>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</si>
  <si>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</si>
  <si>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</si>
  <si>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</si>
  <si>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</si>
  <si>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</si>
  <si>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</si>
  <si>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</si>
  <si>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</si>
  <si>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</si>
  <si>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</si>
  <si>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</si>
  <si>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</si>
  <si>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</si>
  <si>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</si>
  <si>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</si>
  <si>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</si>
  <si>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</si>
  <si>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</si>
  <si>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</si>
  <si>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</si>
  <si>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</si>
  <si>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</si>
  <si>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</si>
  <si>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</si>
  <si>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</si>
  <si>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</si>
  <si>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</si>
  <si>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</si>
  <si>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</si>
  <si>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</si>
  <si>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</si>
  <si>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</si>
  <si>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</si>
  <si>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</si>
  <si>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</si>
  <si>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</si>
  <si>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</si>
  <si>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</si>
  <si>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</si>
  <si>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</si>
  <si>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</si>
  <si>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</si>
  <si>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</si>
  <si>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</si>
  <si>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</si>
  <si>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</si>
  <si>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</si>
  <si>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</si>
  <si>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</si>
  <si>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</si>
  <si>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</si>
  <si>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</si>
  <si>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</si>
  <si>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</si>
  <si>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</si>
  <si>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</si>
  <si>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</si>
  <si>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</si>
  <si>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</si>
  <si>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</si>
  <si>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</si>
  <si>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</si>
  <si>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</si>
  <si>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</si>
  <si>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</si>
  <si>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</si>
  <si>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</si>
  <si>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</si>
  <si>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</si>
  <si>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</si>
  <si>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</si>
  <si>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</si>
  <si>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</si>
  <si>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</si>
  <si>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</si>
  <si>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</si>
  <si>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</si>
  <si>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</si>
  <si>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</si>
  <si>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</si>
  <si>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</si>
  <si>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</si>
  <si>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</si>
  <si>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</si>
  <si>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</si>
  <si>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</si>
  <si>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</si>
  <si>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</si>
  <si>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</si>
  <si>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</si>
  <si>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</si>
  <si>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</si>
  <si>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</si>
  <si>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</si>
  <si>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</si>
  <si>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</si>
  <si>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</si>
  <si>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</si>
  <si>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</si>
  <si>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</si>
  <si>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</si>
  <si>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</si>
  <si>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</si>
  <si>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</si>
  <si>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</si>
  <si>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</si>
  <si>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</si>
  <si>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</si>
  <si>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</si>
  <si>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</si>
  <si>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</si>
  <si>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</si>
  <si>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</si>
  <si>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</si>
  <si>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</si>
  <si>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</si>
  <si>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</si>
  <si>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</si>
  <si>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</si>
  <si>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</si>
  <si>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</si>
  <si>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</si>
  <si>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</si>
  <si>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</si>
  <si>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</si>
  <si>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</si>
  <si>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</si>
  <si>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</si>
  <si>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</si>
  <si>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</si>
  <si>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</si>
  <si>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</si>
  <si>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</si>
  <si>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</si>
  <si>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</si>
  <si>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</si>
  <si>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</si>
  <si>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</si>
  <si>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</si>
  <si>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</si>
  <si>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</si>
  <si>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</si>
  <si>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</si>
  <si>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</si>
  <si>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</si>
  <si>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</si>
  <si>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</si>
  <si>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</si>
  <si>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</si>
  <si>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</si>
  <si>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</si>
  <si>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</si>
  <si>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</si>
  <si>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</si>
  <si>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</si>
  <si>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</si>
  <si>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</si>
  <si>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</si>
  <si>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</si>
  <si>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</si>
  <si>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</si>
  <si>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</si>
  <si>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</si>
  <si>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</si>
  <si>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</si>
  <si>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</si>
  <si>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</si>
  <si>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</si>
  <si>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</si>
  <si>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</si>
  <si>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</si>
  <si>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</si>
  <si>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</si>
  <si>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</si>
  <si>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</si>
  <si>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</si>
  <si>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</si>
  <si>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</si>
  <si>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</si>
  <si>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</si>
  <si>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</si>
  <si>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</si>
  <si>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</si>
  <si>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</si>
  <si>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</si>
  <si>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</si>
  <si>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</si>
  <si>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</si>
  <si>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</si>
  <si>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</si>
  <si>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</si>
  <si>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</si>
  <si>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</si>
  <si>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</si>
  <si>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</si>
  <si>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</si>
  <si>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</si>
  <si>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</si>
  <si>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</si>
  <si>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</si>
  <si>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</si>
  <si>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</si>
  <si>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</si>
  <si>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</si>
  <si>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</si>
  <si>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</si>
  <si>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</si>
  <si>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</si>
  <si>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</si>
  <si>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</si>
  <si>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</si>
  <si>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</si>
  <si>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</si>
  <si>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</si>
  <si>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</si>
  <si>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</si>
  <si>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</si>
  <si>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</si>
  <si>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</si>
  <si>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</si>
  <si>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</si>
  <si>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</si>
  <si>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</si>
  <si>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</si>
  <si>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</si>
  <si>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</si>
  <si>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</si>
  <si>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</si>
  <si>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</si>
  <si>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</si>
  <si>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</si>
  <si>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</si>
  <si>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</si>
  <si>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</si>
  <si>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</si>
  <si>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</si>
  <si>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</si>
  <si>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</si>
  <si>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</si>
  <si>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</si>
  <si>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</si>
  <si>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</si>
  <si>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</si>
  <si>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</si>
  <si>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</si>
  <si>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</si>
  <si>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</si>
  <si>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</si>
  <si>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</si>
  <si>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</si>
  <si>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</si>
  <si>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</si>
  <si>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</si>
  <si>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</si>
  <si>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</si>
  <si>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</si>
  <si>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</si>
  <si>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</si>
  <si>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</si>
  <si>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</si>
  <si>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</si>
  <si>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</si>
  <si>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</si>
  <si>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</si>
  <si>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</si>
  <si>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</si>
  <si>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</si>
  <si>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</si>
  <si>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</si>
  <si>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</si>
  <si>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</si>
  <si>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</si>
  <si>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</si>
  <si>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</si>
  <si>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</si>
  <si>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</si>
  <si>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</si>
  <si>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</si>
  <si>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</si>
  <si>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</si>
  <si>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</si>
  <si>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</si>
  <si>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</si>
  <si>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</si>
  <si>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</si>
  <si>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</si>
  <si>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</si>
  <si>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</si>
  <si>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</si>
  <si>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</si>
  <si>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</si>
  <si>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</si>
  <si>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</si>
  <si>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</si>
  <si>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</si>
  <si>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</si>
  <si>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</si>
  <si>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</si>
  <si>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</si>
  <si>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</si>
  <si>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</si>
  <si>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</si>
  <si>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</si>
  <si>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</si>
  <si>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</si>
  <si>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</si>
  <si>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</si>
  <si>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</si>
  <si>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</si>
  <si>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</si>
  <si>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</si>
  <si>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</si>
  <si>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</si>
  <si>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</si>
  <si>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</si>
  <si>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</si>
  <si>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</si>
  <si>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</si>
  <si>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</si>
  <si>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</si>
  <si>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</si>
  <si>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</si>
  <si>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</si>
  <si>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</si>
  <si>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</si>
  <si>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</si>
  <si>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</si>
  <si>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</si>
  <si>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</si>
  <si>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</si>
  <si>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</si>
  <si>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</si>
  <si>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</si>
  <si>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</si>
  <si>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</si>
  <si>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</si>
  <si>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</si>
  <si>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</si>
  <si>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</si>
  <si>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</si>
  <si>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</si>
  <si>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</si>
  <si>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</si>
  <si>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</si>
  <si>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</si>
  <si>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</si>
  <si>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</si>
  <si>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</si>
  <si>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</si>
  <si>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</si>
  <si>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</si>
  <si>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</si>
  <si>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</si>
  <si>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</si>
  <si>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</si>
  <si>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</si>
  <si>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</si>
  <si>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</si>
  <si>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</si>
  <si>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</si>
  <si>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</si>
  <si>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</si>
  <si>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</si>
  <si>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</si>
  <si>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</si>
  <si>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</si>
  <si>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</si>
  <si>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</si>
  <si>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</si>
  <si>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</si>
  <si>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</si>
  <si>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</si>
  <si>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</si>
  <si>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</si>
  <si>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</si>
  <si>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</si>
  <si>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</si>
  <si>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</si>
  <si>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</si>
  <si>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</si>
  <si>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</si>
  <si>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</si>
  <si>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</si>
  <si>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</si>
  <si>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</si>
  <si>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</si>
  <si>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</si>
  <si>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</si>
  <si>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</si>
  <si>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</si>
  <si>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</si>
  <si>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</si>
  <si>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</si>
  <si>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</si>
  <si>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</si>
  <si>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</si>
  <si>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</si>
  <si>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</si>
  <si>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</si>
  <si>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</si>
  <si>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</si>
  <si>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</si>
  <si>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</si>
  <si>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</si>
  <si>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</si>
  <si>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</si>
  <si>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</si>
  <si>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</si>
  <si>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</si>
  <si>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</si>
  <si>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</si>
  <si>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</si>
  <si>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</si>
  <si>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</si>
  <si>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</si>
  <si>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</si>
  <si>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</si>
  <si>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</si>
  <si>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</si>
  <si>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</si>
  <si>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</si>
  <si>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</si>
  <si>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</si>
  <si>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</si>
  <si>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</si>
  <si>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</si>
  <si>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</si>
  <si>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</si>
  <si>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</si>
  <si>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</si>
  <si>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</si>
  <si>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</si>
  <si>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</si>
  <si>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</si>
  <si>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</si>
  <si>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</si>
  <si>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</si>
  <si>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</si>
  <si>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</si>
  <si>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</si>
  <si>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</si>
  <si>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</si>
  <si>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</si>
  <si>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</si>
  <si>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</si>
  <si>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</si>
  <si>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</si>
  <si>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</si>
  <si>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</si>
  <si>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</si>
  <si>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</si>
  <si>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</si>
  <si>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</si>
  <si>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</si>
  <si>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</si>
  <si>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</si>
  <si>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</si>
  <si>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</si>
  <si>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</si>
  <si>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</si>
  <si>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</si>
  <si>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</si>
  <si>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</si>
  <si>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</si>
  <si>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</si>
  <si>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</si>
  <si>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</si>
  <si>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</si>
  <si>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</si>
  <si>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</si>
  <si>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</si>
  <si>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</si>
  <si>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</si>
  <si>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</si>
  <si>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</si>
  <si>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</si>
  <si>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</si>
  <si>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</si>
  <si>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</si>
  <si>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</si>
  <si>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</si>
  <si>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</si>
  <si>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</si>
  <si>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</si>
  <si>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</si>
  <si>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</si>
  <si>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</si>
  <si>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</si>
  <si>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</si>
  <si>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</si>
  <si>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</si>
  <si>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</si>
  <si>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</si>
  <si>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</si>
  <si>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</si>
  <si>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</si>
  <si>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</si>
  <si>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</si>
  <si>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</si>
  <si>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</si>
  <si>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</si>
  <si>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</si>
  <si>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</si>
  <si>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</si>
  <si>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</si>
  <si>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</si>
  <si>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</si>
  <si>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</si>
  <si>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</si>
  <si>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</si>
  <si>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</si>
  <si>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</si>
  <si>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</si>
  <si>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</si>
  <si>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</si>
  <si>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</si>
  <si>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</si>
  <si>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</si>
  <si>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</si>
  <si>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</si>
  <si>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</si>
  <si>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</si>
  <si>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</si>
  <si>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</si>
  <si>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</si>
  <si>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</si>
  <si>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</si>
  <si>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</si>
  <si>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</si>
  <si>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</si>
  <si>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</si>
  <si>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</si>
  <si>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</si>
  <si>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</si>
  <si>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</si>
  <si>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</si>
  <si>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</si>
  <si>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</si>
  <si>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</si>
  <si>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</si>
  <si>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</si>
  <si>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</si>
  <si>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</si>
  <si>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</si>
  <si>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</si>
  <si>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</si>
  <si>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</si>
  <si>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</si>
  <si>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</si>
  <si>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</si>
  <si>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</si>
  <si>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</si>
  <si>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</si>
  <si>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</si>
  <si>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</si>
  <si>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</si>
  <si>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</si>
  <si>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</si>
  <si>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</si>
  <si>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</si>
  <si>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</si>
  <si>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</si>
  <si>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</si>
  <si>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</si>
  <si>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</si>
  <si>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</si>
  <si>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</si>
  <si>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</si>
  <si>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</si>
  <si>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</si>
  <si>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</si>
  <si>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</si>
  <si>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</si>
  <si>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</si>
  <si>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</si>
  <si>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</si>
  <si>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</si>
  <si>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</si>
  <si>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</si>
  <si>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</si>
  <si>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</si>
  <si>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</si>
  <si>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</si>
  <si>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</si>
  <si>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</si>
  <si>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</si>
  <si>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</si>
  <si>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</si>
  <si>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</si>
  <si>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</si>
  <si>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</si>
  <si>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</si>
  <si>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</si>
  <si>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</si>
  <si>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</si>
  <si>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</si>
  <si>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</si>
  <si>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</si>
  <si>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</si>
  <si>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</si>
  <si>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</si>
  <si>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</si>
  <si>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</si>
  <si>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</si>
  <si>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</si>
  <si>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</si>
  <si>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</si>
  <si>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</si>
  <si>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</si>
  <si>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</si>
  <si>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</si>
  <si>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</si>
  <si>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</si>
  <si>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</si>
  <si>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</si>
  <si>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</si>
  <si>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</si>
  <si>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</si>
  <si>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</si>
  <si>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</si>
  <si>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</si>
  <si>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</si>
  <si>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</si>
  <si>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</si>
  <si>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</si>
  <si>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</si>
  <si>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</si>
  <si>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</si>
  <si>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</si>
  <si>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</si>
  <si>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</si>
  <si>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</si>
  <si>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</si>
  <si>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</si>
  <si>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</si>
  <si>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</si>
  <si>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</si>
  <si>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</si>
  <si>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</si>
  <si>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</si>
  <si>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</si>
  <si>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</si>
  <si>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</si>
  <si>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</si>
  <si>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</si>
  <si>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</si>
  <si>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</si>
  <si>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</si>
  <si>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</si>
  <si>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</si>
  <si>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</si>
  <si>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</si>
  <si>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</si>
  <si>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</si>
  <si>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</si>
  <si>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</si>
  <si>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</si>
  <si>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</si>
  <si>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</si>
  <si>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</si>
  <si>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</si>
  <si>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</si>
  <si>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</si>
  <si>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</si>
  <si>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</si>
  <si>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</si>
  <si>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</si>
  <si>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</si>
  <si>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</si>
  <si>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</si>
  <si>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</si>
  <si>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</si>
  <si>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</si>
  <si>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</si>
  <si>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</si>
  <si>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</si>
  <si>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</si>
  <si>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</si>
  <si>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</si>
  <si>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</si>
  <si>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</si>
  <si>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</si>
  <si>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</si>
  <si>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</si>
  <si>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</si>
  <si>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</si>
  <si>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</si>
  <si>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</si>
  <si>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</si>
  <si>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</si>
  <si>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</si>
  <si>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</si>
  <si>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</si>
  <si>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</si>
  <si>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</si>
  <si>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</si>
  <si>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</si>
  <si>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</si>
  <si>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</si>
  <si>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</si>
  <si>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</si>
  <si>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</si>
  <si>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</si>
  <si>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</si>
  <si>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</si>
  <si>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</si>
  <si>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</si>
  <si>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</si>
  <si>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</si>
  <si>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</si>
  <si>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</si>
  <si>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</si>
  <si>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</si>
  <si>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</si>
  <si>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</si>
  <si>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</si>
  <si>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</si>
  <si>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</si>
  <si>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</si>
  <si>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</si>
  <si>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</si>
  <si>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</si>
  <si>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</si>
  <si>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</si>
  <si>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</si>
  <si>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</si>
  <si>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</si>
  <si>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</si>
  <si>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</si>
  <si>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</si>
  <si>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</si>
  <si>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</si>
  <si>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</si>
  <si>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</si>
  <si>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</si>
  <si>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</si>
  <si>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</si>
  <si>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</si>
  <si>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</si>
  <si>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</si>
  <si>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</si>
  <si>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</si>
  <si>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</si>
  <si>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</si>
  <si>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</si>
  <si>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</si>
  <si>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</si>
  <si>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</si>
  <si>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</si>
  <si>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</si>
  <si>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</si>
  <si>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</si>
  <si>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</si>
  <si>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</si>
  <si>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</si>
  <si>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</si>
  <si>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</si>
  <si>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</si>
  <si>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</si>
  <si>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</si>
  <si>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</si>
  <si>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</si>
  <si>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</si>
  <si>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</si>
  <si>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</si>
  <si>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</si>
  <si>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</si>
  <si>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</si>
  <si>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</si>
  <si>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</si>
  <si>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</si>
  <si>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</si>
  <si>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</si>
  <si>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</si>
  <si>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</si>
  <si>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</si>
  <si>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</si>
  <si>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</si>
  <si>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</si>
  <si>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</si>
  <si>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</si>
  <si>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</si>
  <si>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</si>
  <si>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</si>
  <si>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</si>
  <si>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</si>
  <si>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</si>
  <si>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</si>
  <si>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</si>
  <si>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</si>
  <si>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</si>
  <si>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</si>
  <si>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</si>
  <si>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</si>
  <si>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</si>
  <si>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</si>
  <si>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</si>
  <si>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</si>
  <si>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</si>
  <si>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</si>
  <si>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</si>
  <si>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</si>
  <si>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</si>
  <si>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</si>
  <si>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</si>
  <si>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</si>
  <si>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</si>
  <si>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</si>
  <si>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</si>
  <si>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</si>
  <si>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</si>
  <si>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</si>
  <si>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</si>
  <si>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</si>
  <si>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</si>
  <si>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</si>
  <si>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</si>
  <si>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</si>
  <si>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</si>
  <si>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</si>
  <si>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</si>
  <si>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</si>
  <si>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</si>
  <si>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</si>
  <si>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</si>
  <si>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</si>
  <si>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</si>
  <si>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</si>
  <si>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</si>
  <si>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</si>
  <si>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</si>
  <si>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</si>
  <si>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</si>
  <si>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</si>
  <si>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</si>
  <si>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</si>
  <si>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</si>
  <si>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</si>
  <si>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</si>
  <si>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</si>
  <si>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</si>
  <si>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</si>
  <si>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</si>
  <si>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</si>
  <si>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</si>
  <si>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</si>
  <si>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</si>
  <si>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</si>
  <si>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</si>
  <si>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</si>
  <si>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</si>
  <si>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</si>
  <si>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</si>
  <si>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</si>
  <si>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</si>
  <si>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</si>
  <si>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</si>
  <si>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</si>
  <si>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</si>
  <si>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</si>
  <si>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</si>
  <si>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</si>
  <si>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</si>
  <si>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</si>
  <si>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</si>
  <si>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</si>
  <si>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</si>
  <si>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</si>
  <si>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</si>
  <si>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</si>
  <si>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</si>
  <si>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</si>
  <si>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</si>
  <si>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</si>
  <si>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</si>
  <si>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</si>
  <si>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</si>
  <si>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</si>
  <si>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</si>
  <si>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</si>
  <si>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</si>
  <si>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</si>
  <si>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</si>
  <si>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</si>
  <si>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</si>
  <si>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</si>
  <si>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</si>
  <si>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</si>
  <si>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</si>
  <si>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</si>
  <si>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</si>
  <si>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</si>
  <si>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</si>
  <si>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</si>
  <si>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</si>
  <si>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</si>
  <si>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</si>
  <si>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</si>
  <si>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</si>
  <si>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</si>
  <si>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</si>
  <si>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</si>
  <si>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</si>
  <si>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</si>
  <si>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</si>
  <si>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</si>
  <si>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</si>
  <si>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</si>
  <si>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</si>
  <si>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</si>
  <si>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</si>
  <si>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</si>
  <si>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</si>
  <si>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</si>
  <si>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</si>
  <si>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</si>
  <si>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</si>
  <si>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</si>
  <si>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</si>
  <si>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</si>
  <si>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</si>
  <si>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</si>
  <si>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</si>
  <si>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</si>
  <si>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</si>
  <si>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</si>
  <si>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</si>
  <si>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</si>
  <si>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</si>
  <si>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</si>
  <si>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</si>
  <si>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</si>
  <si>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</si>
  <si>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</si>
  <si>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</si>
  <si>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</si>
  <si>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</si>
  <si>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</si>
  <si>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</si>
  <si>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</si>
  <si>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</si>
  <si>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</si>
  <si>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</si>
  <si>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</si>
  <si>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</si>
  <si>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</si>
  <si>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</si>
  <si>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</si>
  <si>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</si>
  <si>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</si>
  <si>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</si>
  <si>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</si>
  <si>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</si>
  <si>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</si>
  <si>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</si>
  <si>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</si>
  <si>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</si>
  <si>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</si>
  <si>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</si>
  <si>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</si>
  <si>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</si>
  <si>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</si>
  <si>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</si>
  <si>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</si>
  <si>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</si>
  <si>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</si>
  <si>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</si>
  <si>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</si>
  <si>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</si>
  <si>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</si>
  <si>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</si>
  <si>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</si>
  <si>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</si>
  <si>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</si>
  <si>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</si>
  <si>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</si>
  <si>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</si>
  <si>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</si>
  <si>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</si>
  <si>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</si>
  <si>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</si>
  <si>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</si>
  <si>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</si>
  <si>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</si>
  <si>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</si>
  <si>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</si>
  <si>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</si>
  <si>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</si>
  <si>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</si>
  <si>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</si>
  <si>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</si>
  <si>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</si>
  <si>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</si>
  <si>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</si>
  <si>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</si>
  <si>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</si>
  <si>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</si>
  <si>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</si>
  <si>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</si>
  <si>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</si>
  <si>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</si>
  <si>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</si>
  <si>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</si>
  <si>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</si>
  <si>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</si>
  <si>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</si>
  <si>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</si>
  <si>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</si>
  <si>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</si>
  <si>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</si>
  <si>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</si>
  <si>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</si>
  <si>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</si>
  <si>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</si>
  <si>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</si>
  <si>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</si>
  <si>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</si>
  <si>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</si>
  <si>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</si>
  <si>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</si>
  <si>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</si>
  <si>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</si>
  <si>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</si>
  <si>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</si>
  <si>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</si>
  <si>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</si>
  <si>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</si>
  <si>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</si>
  <si>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</si>
  <si>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</si>
  <si>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</si>
  <si>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</si>
  <si>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</si>
  <si>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</si>
  <si>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</si>
  <si>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</si>
  <si>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</si>
  <si>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</si>
  <si>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</si>
  <si>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</si>
  <si>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</si>
  <si>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</si>
  <si>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</si>
  <si>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</si>
  <si>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</si>
  <si>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</si>
  <si>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</si>
  <si>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</si>
  <si>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</si>
  <si>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</si>
  <si>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</si>
  <si>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</si>
  <si>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</si>
  <si>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</si>
  <si>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</si>
  <si>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</si>
  <si>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</si>
  <si>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</si>
  <si>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</si>
  <si>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</si>
  <si>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</si>
  <si>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</si>
  <si>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</si>
  <si>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</si>
  <si>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</si>
  <si>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</si>
  <si>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</si>
  <si>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</si>
  <si>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</si>
  <si>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</si>
  <si>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</si>
  <si>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</si>
  <si>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</si>
  <si>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</si>
  <si>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</si>
  <si>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</si>
  <si>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</si>
  <si>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</si>
  <si>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</si>
  <si>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</si>
  <si>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</si>
  <si>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</si>
  <si>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</si>
  <si>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</si>
  <si>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</si>
  <si>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</si>
  <si>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</si>
  <si>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</si>
  <si>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</si>
  <si>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</si>
  <si>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</si>
  <si>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</si>
  <si>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</si>
  <si>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</si>
  <si>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</si>
  <si>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</si>
  <si>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</si>
  <si>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</si>
  <si>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</si>
  <si>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</si>
  <si>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</si>
  <si>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</si>
  <si>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</si>
  <si>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</si>
  <si>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</si>
  <si>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</si>
  <si>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</si>
  <si>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</si>
  <si>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</si>
  <si>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</si>
  <si>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</si>
  <si>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</si>
  <si>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</si>
  <si>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</si>
  <si>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</si>
  <si>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</si>
  <si>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</si>
  <si>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</si>
  <si>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</si>
  <si>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</si>
  <si>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</si>
  <si>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</si>
  <si>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</si>
  <si>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</si>
  <si>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</si>
  <si>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</si>
  <si>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</si>
  <si>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</si>
  <si>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</si>
  <si>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</si>
  <si>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</si>
  <si>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</si>
  <si>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</si>
  <si>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</si>
  <si>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</si>
  <si>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</si>
  <si>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</si>
  <si>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</si>
  <si>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</si>
  <si>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</si>
  <si>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</si>
  <si>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</si>
  <si>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</si>
  <si>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</si>
  <si>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</si>
  <si>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</si>
  <si>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</si>
  <si>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</si>
  <si>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</si>
  <si>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</si>
  <si>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</si>
  <si>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</si>
  <si>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</si>
  <si>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</si>
  <si>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</si>
  <si>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</si>
  <si>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</si>
  <si>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</si>
  <si>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</si>
  <si>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</si>
  <si>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</si>
  <si>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</si>
  <si>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</si>
  <si>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</si>
  <si>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</si>
  <si>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</si>
  <si>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</si>
  <si>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</si>
  <si>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</si>
  <si>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</si>
  <si>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</si>
  <si>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</si>
  <si>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</si>
  <si>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</si>
  <si>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</si>
  <si>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</si>
  <si>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</si>
  <si>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</si>
  <si>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</si>
  <si>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</si>
  <si>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</si>
  <si>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</si>
  <si>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</si>
  <si>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</si>
  <si>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</si>
  <si>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</si>
  <si>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</si>
  <si>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</si>
  <si>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</si>
  <si>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</si>
  <si>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</si>
  <si>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</si>
  <si>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</si>
  <si>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</si>
  <si>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</si>
  <si>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</si>
  <si>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</si>
  <si>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</si>
  <si>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</si>
  <si>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</si>
  <si>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</si>
  <si>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</si>
  <si>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</si>
  <si>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</si>
  <si>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</si>
  <si>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</si>
  <si>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</si>
  <si>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</si>
  <si>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</si>
  <si>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</si>
  <si>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</si>
  <si>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</si>
  <si>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</si>
  <si>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</si>
  <si>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</si>
  <si>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</si>
  <si>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</si>
  <si>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</si>
  <si>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</si>
  <si>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</si>
  <si>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</si>
  <si>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</si>
  <si>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</si>
  <si>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</si>
  <si>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</si>
  <si>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</si>
  <si>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</si>
  <si>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</si>
  <si>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</si>
  <si>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</si>
  <si>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</si>
  <si>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</si>
  <si>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</si>
  <si>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</si>
  <si>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</si>
  <si>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</si>
  <si>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</si>
  <si>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</si>
  <si>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</si>
  <si>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</si>
  <si>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</si>
  <si>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</si>
  <si>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</si>
  <si>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</si>
  <si>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</si>
  <si>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</si>
  <si>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</si>
  <si>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</si>
  <si>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</si>
  <si>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</si>
  <si>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</si>
  <si>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</si>
  <si>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</si>
  <si>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</si>
  <si>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</si>
  <si>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</si>
  <si>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</si>
  <si>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</si>
  <si>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</si>
  <si>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</si>
  <si>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</si>
  <si>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</si>
  <si>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</si>
  <si>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</si>
  <si>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</si>
  <si>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</si>
  <si>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</si>
  <si>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</si>
  <si>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</si>
  <si>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</si>
  <si>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</si>
  <si>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</si>
  <si>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</si>
  <si>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</si>
  <si>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</si>
  <si>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</si>
  <si>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</si>
  <si>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</si>
  <si>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</si>
  <si>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</si>
  <si>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</si>
  <si>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</si>
  <si>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</si>
  <si>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</si>
  <si>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</si>
  <si>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</si>
  <si>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</si>
  <si>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</si>
  <si>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</si>
  <si>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</si>
  <si>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</si>
  <si>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</si>
  <si>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</si>
  <si>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</si>
  <si>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</si>
  <si>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</si>
  <si>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</si>
  <si>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</si>
  <si>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</si>
  <si>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</si>
  <si>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</si>
  <si>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</si>
  <si>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</si>
  <si>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</si>
  <si>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</si>
  <si>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</si>
  <si>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</si>
  <si>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</si>
  <si>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</si>
  <si>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</si>
  <si>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</si>
  <si>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</si>
  <si>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</si>
  <si>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</si>
  <si>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</si>
  <si>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</si>
  <si>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</si>
  <si>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</si>
  <si>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</si>
  <si>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</si>
  <si>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</si>
  <si>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</si>
  <si>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</si>
  <si>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</si>
  <si>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</si>
  <si>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</si>
  <si>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</si>
  <si>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</si>
  <si>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</si>
  <si>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</si>
  <si>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</si>
  <si>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</si>
  <si>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</si>
  <si>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</si>
  <si>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</si>
  <si>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</si>
  <si>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</si>
  <si>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</si>
  <si>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</si>
  <si>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</si>
  <si>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</si>
  <si>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</si>
  <si>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</si>
  <si>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</si>
  <si>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</si>
  <si>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</si>
  <si>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</si>
  <si>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</si>
  <si>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</si>
  <si>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</si>
  <si>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</si>
  <si>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</si>
  <si>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</si>
  <si>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</si>
  <si>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</si>
  <si>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</si>
  <si>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</si>
  <si>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</si>
  <si>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</si>
  <si>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</si>
  <si>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</si>
  <si>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</si>
  <si>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</si>
  <si>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</si>
  <si>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</si>
  <si>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</si>
  <si>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</si>
  <si>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</si>
  <si>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</si>
  <si>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</si>
  <si>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</si>
  <si>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</si>
  <si>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</si>
  <si>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</si>
  <si>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</si>
  <si>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</si>
  <si>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</si>
  <si>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</si>
  <si>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</si>
  <si>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</si>
  <si>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</si>
  <si>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</si>
  <si>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</si>
  <si>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</si>
  <si>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</si>
  <si>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</si>
  <si>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</si>
  <si>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</si>
  <si>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</si>
  <si>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</si>
  <si>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</si>
  <si>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</si>
  <si>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</si>
  <si>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</si>
  <si>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</si>
  <si>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</si>
  <si>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</si>
  <si>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</si>
  <si>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</si>
  <si>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</si>
  <si>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</si>
  <si>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</si>
  <si>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</si>
  <si>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</si>
  <si>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</si>
  <si>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</si>
  <si>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</si>
  <si>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</si>
  <si>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</si>
  <si>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</si>
  <si>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</si>
  <si>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</si>
  <si>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</si>
  <si>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</si>
  <si>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</si>
  <si>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</si>
  <si>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</si>
  <si>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</si>
  <si>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</si>
  <si>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</si>
  <si>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</si>
  <si>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</si>
  <si>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</si>
  <si>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</si>
  <si>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</si>
  <si>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</si>
  <si>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</si>
  <si>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</si>
  <si>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</si>
  <si>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</si>
  <si>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</si>
  <si>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</si>
  <si>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</si>
  <si>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</si>
  <si>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</si>
  <si>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</si>
  <si>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</si>
  <si>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</si>
  <si>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</si>
  <si>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</si>
  <si>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</si>
  <si>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</si>
  <si>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</si>
  <si>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</si>
  <si>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</si>
  <si>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</si>
  <si>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</si>
  <si>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</si>
  <si>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</si>
  <si>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</si>
  <si>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</si>
  <si>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</si>
  <si>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</si>
  <si>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</si>
  <si>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</si>
  <si>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</si>
  <si>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</si>
  <si>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</si>
  <si>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</si>
  <si>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</si>
  <si>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</si>
  <si>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</si>
  <si>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</si>
  <si>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</si>
  <si>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</si>
  <si>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</si>
  <si>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</si>
  <si>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</si>
  <si>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</si>
  <si>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</si>
  <si>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</si>
  <si>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</si>
  <si>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</si>
  <si>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</si>
  <si>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</si>
  <si>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</si>
  <si>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</si>
  <si>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</si>
  <si>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</si>
  <si>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</si>
  <si>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</si>
  <si>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</si>
  <si>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</si>
  <si>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</si>
  <si>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</si>
  <si>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</si>
  <si>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</si>
  <si>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</si>
  <si>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</si>
  <si>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</si>
  <si>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</si>
  <si>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</si>
  <si>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</si>
  <si>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</si>
  <si>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</si>
  <si>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</si>
  <si>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</si>
  <si>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</si>
  <si>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</si>
  <si>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</si>
  <si>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</si>
  <si>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</si>
  <si>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</si>
  <si>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</si>
  <si>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</si>
  <si>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</si>
  <si>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</si>
  <si>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</si>
  <si>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</si>
  <si>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</si>
  <si>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</si>
  <si>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</si>
  <si>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</si>
  <si>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</si>
  <si>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</si>
  <si>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</si>
  <si>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</si>
  <si>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</si>
  <si>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</si>
  <si>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</si>
  <si>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</si>
  <si>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</si>
  <si>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</si>
  <si>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</si>
  <si>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</si>
  <si>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</si>
  <si>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</si>
  <si>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</si>
  <si>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</si>
  <si>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</si>
  <si>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</si>
  <si>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</si>
  <si>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</si>
  <si>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</si>
  <si>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</si>
  <si>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</si>
  <si>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</si>
  <si>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</si>
  <si>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</si>
  <si>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</si>
  <si>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</si>
  <si>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</si>
  <si>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</si>
  <si>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</si>
  <si>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</si>
  <si>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</si>
  <si>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</si>
  <si>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</si>
  <si>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</si>
  <si>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</si>
  <si>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</si>
  <si>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</si>
  <si>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</si>
  <si>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</si>
  <si>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</si>
  <si>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</si>
  <si>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</si>
  <si>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</si>
  <si>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</si>
  <si>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</si>
  <si>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</si>
  <si>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</si>
  <si>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</si>
  <si>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</si>
  <si>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</si>
  <si>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</si>
  <si>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</si>
  <si>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</si>
  <si>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</si>
  <si>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</si>
  <si>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</si>
  <si>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</si>
  <si>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</si>
  <si>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</si>
  <si>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</si>
  <si>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</si>
  <si>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</si>
  <si>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</si>
  <si>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</si>
  <si>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</si>
  <si>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</si>
  <si>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</si>
  <si>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</si>
  <si>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</si>
  <si>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</si>
  <si>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</si>
  <si>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</si>
  <si>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</si>
  <si>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</si>
  <si>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</si>
  <si>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</si>
  <si>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</si>
  <si>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</si>
  <si>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</si>
  <si>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</si>
  <si>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</si>
  <si>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</si>
  <si>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</si>
  <si>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</si>
  <si>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</si>
  <si>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</si>
  <si>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</si>
  <si>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</si>
  <si>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</si>
  <si>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</si>
  <si>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</si>
  <si>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</si>
  <si>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</si>
  <si>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</si>
  <si>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</si>
  <si>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</si>
  <si>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</si>
  <si>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</si>
  <si>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</si>
  <si>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</si>
  <si>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</si>
  <si>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</si>
  <si>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</si>
  <si>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</si>
  <si>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</si>
  <si>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</si>
  <si>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</si>
  <si>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</si>
  <si>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</si>
  <si>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</si>
  <si>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</si>
  <si>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</si>
  <si>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</si>
  <si>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</si>
  <si>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</si>
  <si>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</si>
  <si>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</si>
  <si>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</si>
  <si>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</si>
  <si>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</si>
  <si>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</si>
  <si>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</si>
  <si>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</si>
  <si>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</si>
  <si>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</si>
  <si>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</si>
  <si>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</si>
  <si>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</si>
  <si>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</si>
  <si>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</si>
  <si>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</si>
  <si>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</si>
  <si>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</si>
  <si>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</si>
  <si>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</si>
  <si>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</si>
  <si>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</si>
  <si>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</si>
  <si>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</si>
  <si>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</si>
  <si>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</si>
  <si>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</si>
  <si>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</si>
  <si>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</si>
  <si>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</si>
  <si>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</si>
  <si>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</si>
  <si>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</si>
  <si>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</si>
  <si>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</si>
  <si>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</si>
  <si>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</si>
  <si>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</si>
  <si>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</si>
  <si>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</si>
  <si>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</si>
  <si>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</si>
  <si>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</si>
  <si>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</si>
  <si>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</si>
  <si>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</si>
  <si>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</si>
  <si>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</si>
  <si>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</si>
  <si>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</si>
  <si>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</si>
  <si>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</si>
  <si>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</si>
  <si>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</si>
  <si>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</si>
  <si>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</si>
  <si>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</si>
  <si>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</si>
  <si>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</si>
  <si>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</si>
  <si>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</si>
  <si>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</si>
  <si>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</si>
  <si>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</si>
  <si>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</si>
  <si>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</si>
  <si>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</si>
  <si>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</si>
  <si>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</si>
  <si>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</si>
  <si>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</si>
  <si>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</si>
  <si>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</si>
  <si>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</si>
  <si>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</si>
  <si>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</si>
  <si>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</si>
  <si>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</si>
  <si>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</si>
  <si>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</si>
  <si>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</si>
  <si>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</si>
  <si>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</si>
  <si>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</si>
  <si>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</si>
  <si>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</si>
  <si>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</si>
  <si>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</si>
  <si>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</si>
  <si>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</si>
  <si>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</si>
  <si>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</si>
  <si>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</si>
  <si>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</si>
  <si>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</si>
  <si>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</si>
  <si>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</si>
  <si>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</si>
  <si>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</si>
  <si>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</si>
  <si>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</si>
  <si>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</si>
  <si>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</si>
  <si>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</si>
  <si>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</si>
  <si>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</si>
  <si>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</si>
  <si>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</si>
  <si>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</si>
  <si>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</si>
  <si>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</si>
  <si>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</si>
  <si>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</si>
  <si>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</si>
  <si>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</si>
  <si>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</si>
  <si>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</si>
  <si>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</si>
  <si>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</si>
  <si>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</si>
  <si>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</si>
  <si>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</si>
  <si>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</si>
  <si>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</si>
  <si>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</si>
  <si>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</si>
  <si>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</si>
  <si>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</si>
  <si>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</si>
  <si>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</si>
  <si>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</si>
  <si>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</si>
  <si>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</si>
  <si>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</si>
  <si>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</si>
  <si>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</si>
  <si>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</si>
  <si>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</si>
  <si>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</si>
  <si>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</si>
  <si>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</si>
  <si>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</si>
  <si>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</si>
  <si>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</si>
  <si>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</si>
  <si>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</si>
  <si>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</si>
  <si>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</si>
  <si>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</si>
  <si>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</si>
  <si>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</si>
  <si>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</si>
  <si>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</si>
  <si>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</si>
  <si>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</si>
  <si>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</si>
  <si>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</si>
  <si>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</si>
  <si>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</si>
  <si>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</si>
  <si>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</si>
  <si>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</si>
  <si>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</si>
  <si>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</si>
  <si>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</si>
  <si>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</si>
  <si>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</si>
  <si>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</si>
  <si>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</si>
  <si>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</si>
  <si>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</si>
  <si>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</si>
  <si>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</si>
  <si>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</si>
  <si>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</si>
  <si>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</si>
  <si>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</si>
  <si>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</si>
  <si>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</si>
  <si>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</si>
  <si>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</si>
  <si>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</si>
  <si>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</si>
  <si>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</si>
  <si>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</si>
  <si>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</si>
  <si>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</si>
  <si>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</si>
  <si>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</si>
  <si>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</si>
  <si>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</si>
  <si>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</si>
  <si>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</si>
  <si>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</si>
  <si>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</si>
  <si>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</si>
  <si>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</si>
  <si>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</si>
  <si>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</si>
  <si>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</si>
  <si>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</si>
  <si>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</si>
  <si>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</si>
  <si>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</si>
  <si>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</si>
  <si>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</si>
  <si>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</si>
  <si>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</si>
  <si>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</si>
  <si>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</si>
  <si>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</si>
  <si>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</si>
  <si>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</si>
  <si>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</si>
  <si>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</si>
  <si>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</si>
  <si>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</si>
  <si>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</si>
  <si>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</si>
  <si>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</si>
  <si>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</si>
  <si>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</si>
  <si>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</si>
  <si>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</si>
  <si>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</si>
  <si>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</si>
  <si>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</si>
  <si>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</si>
  <si>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</si>
  <si>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</si>
  <si>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</si>
  <si>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</si>
  <si>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</si>
  <si>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</si>
  <si>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</si>
  <si>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</si>
  <si>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</si>
  <si>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</si>
  <si>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</si>
  <si>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</si>
  <si>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</si>
  <si>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</si>
  <si>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</si>
  <si>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</si>
  <si>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</si>
  <si>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</si>
  <si>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</si>
  <si>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</si>
  <si>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</si>
  <si>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</si>
  <si>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</si>
  <si>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</si>
  <si>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</si>
  <si>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</si>
  <si>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</si>
  <si>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</si>
  <si>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</si>
  <si>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</si>
  <si>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</si>
  <si>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</si>
  <si>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</si>
  <si>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</si>
  <si>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</si>
  <si>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</si>
  <si>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</si>
  <si>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</si>
  <si>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</si>
  <si>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</si>
  <si>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</si>
  <si>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</si>
  <si>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</si>
  <si>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</si>
  <si>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</si>
  <si>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</si>
  <si>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</si>
  <si>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</si>
  <si>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</si>
  <si>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</si>
  <si>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</si>
  <si>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</si>
  <si>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</si>
  <si>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</si>
  <si>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</si>
  <si>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</si>
  <si>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</si>
  <si>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</si>
  <si>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</si>
  <si>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</si>
  <si>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</si>
  <si>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</si>
  <si>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</si>
  <si>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</si>
  <si>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</si>
  <si>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</si>
  <si>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</si>
  <si>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</si>
  <si>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</si>
  <si>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</si>
  <si>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</si>
  <si>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</si>
  <si>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</si>
  <si>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</si>
  <si>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</si>
  <si>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</si>
  <si>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</si>
  <si>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</si>
  <si>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</si>
  <si>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</si>
  <si>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</si>
  <si>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</si>
  <si>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</si>
  <si>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</si>
  <si>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</si>
  <si>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</si>
  <si>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</si>
  <si>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</si>
  <si>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</si>
  <si>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</si>
  <si>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</si>
  <si>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</si>
  <si>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</si>
  <si>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</si>
  <si>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</si>
  <si>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</si>
  <si>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</si>
  <si>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</si>
  <si>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</si>
  <si>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</si>
  <si>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</si>
  <si>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</si>
  <si>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</si>
  <si>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</si>
  <si>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</si>
  <si>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</si>
  <si>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</si>
  <si>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</si>
  <si>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</si>
  <si>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</si>
  <si>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</si>
  <si>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</si>
  <si>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</si>
  <si>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</si>
  <si>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</si>
  <si>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</si>
  <si>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</si>
  <si>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</si>
  <si>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</si>
  <si>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</si>
  <si>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</si>
  <si>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</si>
  <si>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</si>
  <si>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</si>
  <si>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</si>
  <si>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</si>
  <si>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</si>
  <si>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</si>
  <si>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</si>
  <si>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</si>
  <si>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</si>
  <si>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</si>
  <si>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</si>
  <si>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</si>
  <si>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</si>
  <si>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</si>
  <si>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</si>
  <si>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</si>
  <si>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</si>
  <si>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</si>
  <si>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</si>
  <si>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</si>
  <si>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</si>
  <si>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</si>
  <si>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</si>
  <si>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</si>
  <si>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</si>
  <si>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</si>
  <si>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</si>
  <si>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</si>
  <si>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</si>
  <si>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</si>
  <si>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</si>
  <si>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</si>
  <si>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</si>
  <si>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</si>
  <si>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</si>
  <si>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</si>
  <si>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</si>
  <si>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</si>
  <si>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</si>
  <si>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</si>
  <si>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</si>
  <si>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</si>
  <si>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</si>
  <si>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</si>
  <si>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</si>
  <si>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</si>
  <si>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</si>
  <si>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</si>
  <si>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</si>
  <si>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</si>
  <si>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</si>
  <si>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</si>
  <si>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</si>
  <si>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</si>
  <si>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</si>
  <si>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</si>
  <si>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</si>
  <si>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</si>
  <si>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</si>
  <si>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</si>
  <si>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</si>
  <si>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</si>
  <si>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</si>
  <si>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</si>
  <si>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</si>
  <si>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</si>
  <si>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</si>
  <si>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</si>
  <si>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</si>
  <si>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</si>
  <si>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</si>
  <si>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</si>
  <si>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</si>
  <si>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</si>
  <si>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</si>
  <si>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</si>
  <si>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</si>
  <si>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</si>
  <si>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</si>
  <si>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</si>
  <si>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</si>
  <si>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</si>
  <si>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</si>
  <si>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</si>
  <si>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</si>
  <si>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</si>
  <si>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</si>
  <si>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</si>
  <si>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</si>
  <si>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</si>
  <si>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</si>
  <si>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</si>
  <si>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</si>
  <si>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</si>
  <si>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</si>
  <si>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</si>
  <si>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</si>
  <si>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</si>
  <si>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</si>
  <si>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</si>
  <si>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</si>
  <si>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</si>
  <si>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</si>
  <si>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</si>
  <si>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</si>
  <si>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</si>
  <si>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</si>
  <si>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</si>
  <si>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</si>
  <si>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</si>
  <si>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</si>
  <si>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</si>
  <si>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</si>
  <si>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</si>
  <si>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</si>
  <si>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</si>
  <si>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</si>
  <si>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</si>
  <si>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</si>
  <si>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</si>
  <si>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</si>
  <si>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</si>
  <si>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</si>
  <si>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</si>
  <si>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</si>
  <si>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</si>
  <si>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</si>
  <si>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</si>
  <si>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</si>
  <si>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</si>
  <si>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</si>
  <si>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</si>
  <si>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</si>
  <si>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</si>
  <si>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</si>
  <si>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</si>
  <si>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</si>
  <si>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</si>
  <si>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</si>
  <si>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</si>
  <si>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</si>
  <si>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</si>
  <si>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</si>
  <si>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</si>
  <si>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</si>
  <si>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</si>
  <si>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</si>
  <si>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</si>
  <si>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</si>
  <si>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</si>
  <si>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</si>
  <si>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</si>
  <si>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</si>
  <si>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</si>
  <si>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</si>
  <si>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</si>
  <si>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</si>
  <si>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</si>
  <si>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</si>
  <si>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</si>
  <si>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</si>
  <si>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</si>
  <si>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</si>
  <si>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</si>
  <si>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</si>
  <si>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</si>
  <si>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</si>
  <si>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</si>
  <si>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</si>
  <si>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</si>
  <si>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</si>
  <si>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</si>
  <si>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</si>
  <si>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</si>
  <si>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</si>
  <si>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</si>
  <si>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</si>
  <si>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</si>
  <si>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</si>
  <si>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</si>
  <si>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</si>
  <si>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</si>
  <si>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</si>
  <si>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</si>
  <si>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</si>
  <si>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</si>
  <si>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</si>
  <si>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</si>
  <si>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</si>
  <si>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</si>
  <si>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</si>
  <si>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</si>
  <si>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</si>
  <si>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</si>
  <si>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</si>
  <si>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</si>
  <si>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</si>
  <si>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</si>
  <si>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</si>
  <si>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</si>
  <si>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</si>
  <si>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</si>
  <si>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</si>
  <si>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</si>
  <si>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</si>
  <si>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</si>
  <si>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</si>
  <si>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</si>
  <si>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</si>
  <si>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</si>
  <si>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</si>
  <si>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</si>
  <si>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</si>
  <si>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</si>
  <si>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</si>
  <si>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</si>
  <si>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</si>
  <si>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</si>
  <si>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</si>
  <si>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</si>
  <si>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</si>
  <si>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</si>
  <si>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</si>
  <si>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</si>
  <si>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</si>
  <si>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</si>
  <si>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</si>
  <si>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</si>
  <si>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</si>
  <si>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</si>
  <si>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</si>
  <si>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</si>
  <si>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</si>
  <si>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</si>
  <si>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</si>
  <si>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</si>
  <si>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</si>
  <si>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</si>
  <si>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</si>
  <si>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</si>
  <si>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</si>
  <si>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</si>
  <si>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</si>
  <si>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</si>
  <si>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</si>
  <si>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</si>
  <si>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</si>
  <si>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</si>
  <si>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</si>
  <si>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</si>
  <si>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</si>
  <si>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</si>
  <si>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</si>
  <si>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</si>
  <si>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</si>
  <si>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</si>
  <si>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</si>
  <si>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</si>
  <si>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</si>
  <si>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</si>
  <si>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</si>
  <si>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</si>
  <si>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</si>
  <si>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</si>
  <si>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</si>
  <si>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</si>
  <si>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</si>
  <si>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</si>
  <si>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</si>
  <si>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</si>
  <si>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</si>
  <si>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</si>
  <si>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</si>
  <si>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</si>
  <si>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</si>
  <si>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</si>
  <si>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</si>
  <si>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</si>
  <si>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</si>
  <si>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</si>
  <si>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</si>
  <si>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</si>
  <si>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</si>
  <si>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</si>
  <si>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</si>
  <si>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</si>
  <si>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</si>
  <si>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</si>
  <si>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</si>
  <si>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</si>
  <si>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</si>
  <si>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</si>
  <si>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</si>
  <si>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</si>
  <si>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</si>
  <si>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</si>
  <si>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</si>
  <si>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</si>
  <si>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</si>
  <si>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</si>
  <si>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</si>
  <si>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</si>
  <si>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</si>
  <si>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</si>
  <si>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</si>
  <si>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</si>
  <si>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</si>
  <si>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</si>
  <si>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</si>
  <si>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</si>
  <si>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</si>
  <si>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</si>
  <si>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</si>
  <si>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</si>
  <si>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</si>
  <si>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</si>
  <si>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</si>
  <si>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</si>
  <si>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</si>
  <si>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</si>
  <si>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</si>
  <si>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</si>
  <si>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</si>
  <si>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</si>
  <si>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</si>
  <si>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</si>
  <si>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</si>
  <si>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</si>
  <si>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</si>
  <si>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</si>
  <si>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</si>
  <si>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</si>
  <si>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</si>
  <si>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</si>
  <si>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</si>
  <si>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</si>
  <si>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</si>
  <si>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</si>
  <si>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</si>
  <si>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</si>
  <si>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</si>
  <si>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</si>
  <si>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</si>
  <si>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</si>
  <si>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</si>
  <si>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</si>
  <si>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</si>
  <si>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</si>
  <si>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</si>
  <si>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</si>
  <si>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</si>
  <si>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</si>
  <si>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</si>
  <si>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</si>
  <si>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</si>
  <si>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</si>
  <si>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</si>
  <si>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</si>
  <si>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</si>
  <si>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</si>
  <si>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</si>
  <si>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</si>
  <si>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</si>
  <si>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</si>
  <si>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</si>
  <si>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</si>
  <si>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</si>
  <si>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</si>
  <si>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</si>
  <si>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</si>
  <si>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</si>
  <si>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</si>
  <si>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</si>
  <si>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</si>
  <si>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</si>
  <si>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</si>
  <si>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</si>
  <si>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</si>
  <si>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</si>
  <si>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</si>
  <si>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</si>
  <si>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</si>
  <si>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</si>
  <si>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</si>
  <si>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</si>
  <si>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</si>
  <si>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</si>
  <si>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</si>
  <si>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</si>
  <si>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</si>
  <si>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</si>
  <si>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</si>
  <si>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</si>
  <si>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</si>
  <si>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</si>
  <si>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</si>
  <si>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</si>
  <si>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</si>
  <si>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</si>
  <si>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</si>
  <si>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</si>
  <si>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</si>
  <si>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</si>
  <si>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</si>
  <si>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</si>
  <si>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</si>
  <si>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</si>
  <si>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</si>
  <si>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</si>
  <si>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</si>
  <si>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</si>
  <si>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</si>
  <si>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</si>
  <si>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</si>
  <si>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</si>
  <si>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</si>
  <si>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</si>
  <si>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</si>
  <si>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</si>
  <si>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</si>
  <si>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</si>
  <si>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</si>
  <si>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</si>
  <si>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</si>
  <si>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</si>
  <si>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</si>
  <si>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</si>
  <si>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</si>
  <si>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</si>
  <si>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</si>
  <si>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</si>
  <si>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</si>
  <si>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</si>
  <si>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</si>
  <si>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</si>
  <si>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</si>
  <si>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</si>
  <si>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</si>
  <si>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</si>
  <si>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</si>
  <si>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</si>
  <si>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</si>
  <si>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</si>
  <si>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</si>
  <si>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</si>
  <si>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</si>
  <si>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</si>
  <si>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</si>
  <si>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</si>
  <si>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</si>
  <si>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</si>
  <si>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</si>
  <si>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</si>
  <si>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</si>
  <si>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</si>
  <si>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</si>
  <si>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</si>
  <si>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</si>
  <si>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</si>
  <si>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</si>
  <si>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</si>
  <si>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</si>
  <si>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</si>
  <si>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</si>
  <si>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</si>
  <si>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</si>
  <si>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</si>
  <si>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</si>
  <si>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</si>
  <si>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</si>
  <si>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</si>
  <si>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</si>
  <si>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</si>
  <si>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</si>
  <si>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</si>
  <si>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</si>
  <si>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</si>
  <si>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</si>
  <si>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</si>
  <si>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</si>
  <si>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</si>
  <si>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</si>
  <si>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</si>
  <si>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</si>
  <si>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</si>
  <si>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</si>
  <si>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</si>
  <si>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</si>
  <si>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</si>
  <si>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</si>
  <si>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</si>
  <si>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</si>
  <si>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</si>
  <si>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</si>
  <si>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</si>
  <si>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</si>
  <si>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</si>
  <si>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</si>
  <si>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</si>
  <si>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</si>
  <si>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</si>
  <si>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</si>
  <si>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</si>
  <si>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</si>
  <si>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</si>
  <si>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</si>
  <si>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</si>
  <si>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</si>
  <si>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</si>
  <si>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</si>
  <si>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</si>
  <si>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</si>
  <si>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</si>
  <si>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</si>
  <si>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</si>
  <si>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</si>
  <si>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</si>
  <si>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</si>
  <si>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</si>
  <si>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</si>
  <si>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</si>
  <si>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</si>
  <si>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</si>
  <si>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</si>
  <si>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</si>
  <si>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</si>
  <si>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</si>
  <si>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</si>
  <si>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</si>
  <si>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</si>
  <si>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</si>
  <si>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</si>
  <si>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</si>
  <si>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</si>
  <si>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</si>
  <si>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</si>
  <si>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</si>
  <si>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</si>
  <si>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</si>
  <si>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</si>
  <si>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</si>
  <si>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</si>
  <si>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</si>
  <si>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</si>
  <si>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</si>
  <si>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</si>
  <si>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</si>
  <si>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</si>
  <si>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</si>
  <si>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</si>
  <si>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</si>
  <si>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</si>
  <si>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</si>
  <si>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</si>
  <si>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</si>
  <si>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</si>
  <si>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</si>
  <si>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</si>
  <si>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</si>
  <si>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</si>
  <si>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</si>
  <si>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</si>
  <si>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</si>
  <si>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</si>
  <si>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</si>
  <si>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</si>
  <si>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</si>
  <si>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</si>
  <si>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</si>
  <si>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</si>
  <si>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</si>
  <si>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</si>
  <si>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</si>
  <si>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</si>
  <si>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</si>
  <si>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</si>
  <si>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</si>
  <si>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</si>
  <si>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</si>
  <si>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</si>
  <si>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</si>
  <si>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</si>
  <si>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</si>
  <si>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</si>
  <si>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</si>
  <si>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</si>
  <si>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</si>
  <si>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</si>
  <si>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</si>
  <si>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</si>
  <si>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</si>
  <si>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</si>
  <si>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</si>
  <si>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</si>
  <si>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</si>
  <si>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</si>
  <si>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</si>
  <si>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</si>
  <si>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</si>
  <si>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</si>
  <si>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</si>
  <si>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</si>
  <si>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</si>
  <si>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</si>
  <si>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</si>
  <si>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</si>
  <si>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</si>
  <si>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</si>
  <si>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</si>
  <si>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</si>
  <si>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</si>
  <si>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</si>
  <si>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</si>
  <si>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</si>
  <si>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</si>
  <si>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</si>
  <si>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</si>
  <si>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</si>
  <si>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</si>
  <si>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</si>
  <si>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</si>
  <si>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</si>
  <si>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</si>
  <si>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</si>
  <si>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</si>
  <si>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</si>
  <si>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</si>
  <si>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</si>
  <si>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</si>
  <si>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</si>
  <si>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</si>
  <si>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</si>
  <si>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</si>
  <si>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</si>
  <si>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</si>
  <si>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</si>
  <si>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</si>
  <si>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</si>
  <si>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</si>
  <si>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</si>
  <si>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</si>
  <si>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</si>
  <si>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</si>
  <si>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</si>
  <si>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</si>
  <si>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</si>
  <si>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</si>
  <si>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</si>
  <si>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</si>
  <si>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</si>
  <si>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</si>
  <si>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</si>
  <si>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</si>
  <si>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</si>
  <si>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</si>
  <si>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</si>
  <si>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</si>
  <si>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</si>
  <si>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</si>
  <si>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</si>
  <si>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</si>
  <si>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</si>
  <si>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</si>
  <si>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</si>
  <si>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</si>
  <si>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</si>
  <si>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</si>
  <si>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</si>
  <si>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</si>
  <si>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</si>
  <si>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</si>
  <si>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</si>
  <si>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</si>
  <si>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</si>
  <si>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</si>
  <si>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</si>
  <si>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</si>
  <si>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</si>
  <si>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</si>
  <si>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</si>
  <si>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</si>
  <si>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</si>
  <si>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</si>
  <si>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</si>
  <si>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</si>
  <si>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</si>
  <si>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</si>
  <si>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</si>
  <si>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</si>
  <si>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</si>
  <si>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</si>
  <si>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</si>
  <si>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</si>
  <si>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</si>
  <si>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</si>
  <si>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</si>
  <si>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</si>
  <si>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</si>
  <si>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</si>
  <si>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</si>
  <si>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</si>
  <si>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</si>
  <si>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</si>
  <si>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</si>
  <si>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</si>
  <si>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</si>
  <si>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</si>
  <si>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</si>
  <si>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</si>
  <si>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</si>
  <si>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</si>
  <si>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</si>
  <si>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</si>
  <si>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</si>
  <si>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</si>
  <si>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</si>
  <si>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</si>
  <si>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</si>
  <si>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</si>
  <si>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</si>
  <si>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</si>
  <si>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</si>
  <si>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</si>
  <si>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</si>
  <si>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</si>
  <si>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</si>
  <si>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</si>
  <si>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</si>
  <si>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</si>
  <si>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</si>
  <si>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</si>
  <si>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</si>
  <si>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</si>
  <si>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</si>
  <si>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</si>
  <si>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</si>
  <si>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</si>
  <si>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</si>
  <si>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</si>
  <si>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</si>
  <si>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</si>
  <si>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</si>
  <si>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</si>
  <si>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</si>
  <si>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</si>
  <si>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</si>
  <si>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</si>
  <si>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</si>
  <si>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</si>
  <si>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</si>
  <si>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</si>
  <si>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</si>
  <si>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</si>
  <si>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</si>
  <si>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</si>
  <si>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</si>
  <si>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</si>
  <si>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</si>
  <si>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</si>
  <si>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</si>
  <si>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</si>
  <si>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</si>
  <si>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</si>
  <si>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</si>
  <si>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</si>
  <si>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</si>
  <si>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</si>
  <si>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</si>
  <si>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</si>
  <si>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</si>
  <si>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</si>
  <si>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</si>
  <si>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</si>
  <si>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</si>
  <si>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</si>
  <si>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</si>
  <si>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</si>
  <si>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</si>
  <si>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</si>
  <si>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</si>
  <si>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</si>
  <si>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</si>
  <si>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</si>
  <si>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</si>
  <si>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</si>
  <si>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</si>
  <si>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</si>
  <si>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</si>
  <si>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</si>
  <si>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</si>
  <si>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</si>
  <si>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</si>
  <si>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</si>
  <si>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</si>
  <si>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</si>
  <si>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</si>
  <si>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</si>
  <si>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</si>
  <si>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</si>
  <si>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</si>
  <si>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</si>
  <si>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</si>
  <si>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</si>
  <si>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</si>
  <si>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</si>
  <si>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</si>
  <si>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</si>
  <si>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</si>
  <si>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</si>
  <si>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</si>
  <si>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</si>
  <si>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</si>
  <si>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</si>
  <si>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</si>
  <si>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</si>
  <si>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</si>
  <si>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</si>
  <si>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</si>
  <si>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</si>
  <si>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</si>
  <si>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</si>
  <si>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</si>
  <si>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</si>
  <si>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</si>
  <si>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</si>
  <si>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</si>
  <si>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</si>
  <si>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</si>
  <si>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</si>
  <si>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</si>
  <si>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</si>
  <si>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</si>
  <si>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</si>
  <si>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</si>
  <si>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</si>
  <si>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</si>
  <si>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</si>
  <si>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</si>
  <si>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</si>
  <si>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</si>
  <si>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</si>
  <si>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</si>
  <si>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</si>
  <si>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</si>
  <si>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</si>
  <si>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</si>
  <si>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</si>
  <si>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</si>
  <si>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</si>
  <si>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</si>
  <si>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</si>
  <si>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</si>
  <si>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</si>
  <si>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</si>
  <si>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</si>
  <si>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</si>
  <si>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</si>
  <si>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</si>
  <si>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</si>
  <si>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</si>
  <si>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</si>
  <si>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</si>
  <si>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</si>
  <si>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</si>
  <si>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</si>
  <si>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</si>
  <si>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</si>
  <si>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</si>
  <si>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</si>
  <si>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</si>
  <si>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</si>
  <si>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</si>
  <si>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</si>
  <si>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</si>
  <si>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</si>
  <si>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</si>
  <si>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</si>
  <si>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</si>
  <si>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</si>
  <si>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</si>
  <si>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</si>
  <si>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</si>
  <si>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</si>
  <si>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</si>
  <si>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</si>
  <si>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</si>
  <si>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</si>
  <si>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</si>
  <si>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</si>
  <si>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</si>
  <si>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</si>
  <si>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</si>
  <si>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</si>
  <si>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</si>
  <si>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</si>
  <si>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</si>
  <si>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</si>
  <si>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</si>
  <si>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</si>
  <si>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</si>
  <si>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</si>
  <si>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</si>
  <si>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</si>
  <si>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</si>
  <si>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</si>
  <si>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</si>
  <si>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</si>
  <si>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</si>
  <si>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</si>
  <si>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</si>
  <si>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</si>
  <si>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</si>
  <si>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</si>
  <si>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</si>
  <si>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</si>
  <si>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</si>
  <si>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</si>
  <si>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</si>
  <si>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</si>
  <si>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</si>
  <si>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</si>
  <si>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</si>
  <si>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</si>
  <si>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</si>
  <si>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</si>
  <si>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</si>
  <si>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</si>
  <si>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</si>
  <si>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</si>
  <si>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</si>
  <si>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</si>
  <si>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</si>
  <si>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</si>
  <si>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</si>
  <si>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</si>
  <si>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</si>
  <si>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</si>
  <si>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</si>
  <si>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</si>
  <si>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</si>
  <si>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</si>
  <si>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</si>
  <si>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</si>
  <si>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</si>
  <si>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</si>
  <si>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</si>
  <si>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</si>
  <si>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</si>
  <si>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</si>
  <si>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</si>
  <si>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</si>
  <si>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</si>
  <si>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</si>
  <si>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</si>
  <si>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</si>
  <si>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</si>
  <si>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</si>
  <si>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</si>
  <si>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</si>
  <si>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</si>
  <si>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</si>
  <si>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</si>
  <si>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</si>
  <si>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</si>
  <si>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</si>
  <si>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</si>
  <si>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</si>
  <si>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</si>
  <si>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</si>
  <si>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</si>
  <si>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</si>
  <si>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</si>
  <si>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</si>
  <si>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</si>
  <si>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</si>
  <si>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</si>
  <si>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</si>
  <si>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</si>
  <si>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</si>
  <si>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</si>
  <si>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</si>
  <si>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</si>
  <si>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</si>
  <si>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</si>
  <si>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</si>
  <si>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</si>
  <si>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</si>
  <si>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</si>
  <si>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</si>
  <si>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</si>
  <si>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</si>
  <si>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</si>
  <si>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</si>
  <si>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</si>
  <si>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</si>
  <si>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</si>
  <si>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</si>
  <si>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</si>
  <si>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</si>
  <si>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</si>
  <si>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</si>
  <si>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</si>
  <si>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</si>
  <si>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</si>
  <si>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</si>
  <si>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</si>
  <si>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</si>
  <si>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</si>
  <si>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</si>
  <si>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</si>
  <si>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</si>
  <si>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</si>
  <si>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</si>
  <si>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</si>
  <si>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</si>
  <si>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</si>
  <si>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</si>
  <si>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</si>
  <si>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</si>
  <si>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</si>
  <si>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</si>
  <si>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</si>
  <si>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</si>
  <si>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</si>
  <si>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</si>
  <si>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</si>
  <si>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</si>
  <si>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</si>
  <si>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</si>
  <si>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</si>
  <si>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</si>
  <si>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</si>
  <si>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</si>
  <si>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</si>
  <si>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</si>
  <si>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</si>
  <si>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</si>
  <si>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</si>
  <si>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</si>
  <si>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</si>
  <si>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</si>
  <si>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</si>
  <si>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</si>
  <si>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</si>
  <si>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</si>
  <si>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</si>
  <si>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</si>
  <si>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</si>
  <si>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</si>
  <si>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</si>
  <si>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</si>
  <si>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</si>
  <si>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</si>
  <si>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</si>
  <si>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</si>
  <si>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</si>
  <si>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</si>
  <si>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</si>
  <si>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</si>
  <si>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</si>
  <si>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</si>
  <si>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</si>
  <si>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</si>
  <si>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</si>
  <si>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</si>
  <si>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</si>
  <si>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</si>
  <si>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</si>
  <si>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</si>
  <si>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</si>
  <si>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</si>
  <si>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</si>
  <si>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</si>
  <si>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</si>
  <si>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</si>
  <si>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</si>
  <si>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</si>
  <si>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</si>
  <si>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</si>
  <si>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</si>
  <si>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</si>
  <si>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</si>
  <si>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</si>
  <si>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</si>
  <si>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</si>
  <si>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</si>
  <si>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</si>
  <si>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</si>
  <si>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</si>
  <si>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</si>
  <si>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</si>
  <si>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</si>
  <si>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</si>
  <si>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</si>
  <si>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</si>
  <si>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</si>
  <si>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</si>
  <si>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</si>
  <si>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</si>
  <si>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</si>
  <si>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</si>
  <si>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</si>
  <si>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</si>
  <si>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</si>
  <si>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</si>
  <si>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</si>
  <si>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</si>
  <si>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</si>
  <si>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</si>
  <si>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</si>
  <si>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</si>
  <si>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</si>
  <si>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</si>
  <si>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</si>
  <si>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</si>
  <si>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</si>
  <si>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</si>
  <si>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</si>
  <si>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</si>
  <si>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</si>
  <si>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</si>
  <si>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</si>
  <si>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</si>
  <si>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</si>
  <si>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</si>
  <si>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</si>
  <si>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</si>
  <si>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</si>
  <si>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</si>
  <si>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</si>
  <si>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</si>
  <si>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</si>
  <si>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</si>
  <si>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</si>
  <si>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</si>
  <si>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</si>
  <si>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</si>
  <si>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</si>
  <si>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</si>
  <si>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</si>
  <si>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</si>
  <si>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</si>
  <si>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</si>
  <si>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</si>
  <si>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</si>
  <si>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</si>
  <si>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</si>
  <si>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</si>
  <si>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</si>
  <si>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</si>
  <si>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</si>
  <si>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</si>
  <si>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</si>
  <si>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</si>
  <si>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</si>
  <si>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</si>
  <si>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</si>
  <si>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</si>
  <si>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</si>
  <si>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</si>
  <si>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</si>
  <si>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</si>
  <si>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</si>
  <si>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</si>
  <si>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</si>
  <si>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</si>
  <si>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</si>
  <si>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</si>
  <si>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</si>
  <si>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</si>
  <si>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</si>
  <si>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</si>
  <si>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</si>
  <si>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</si>
  <si>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</si>
  <si>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</si>
  <si>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</si>
  <si>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</si>
  <si>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</si>
  <si>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</si>
  <si>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</si>
  <si>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</si>
  <si>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</si>
  <si>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</si>
  <si>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</si>
  <si>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</si>
  <si>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</si>
  <si>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</si>
  <si>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</si>
  <si>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</si>
  <si>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</si>
  <si>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</si>
  <si>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</si>
  <si>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</si>
  <si>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</si>
  <si>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</si>
  <si>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</si>
  <si>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</si>
  <si>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</si>
  <si>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</si>
  <si>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</si>
  <si>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</si>
  <si>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</si>
  <si>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</si>
  <si>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</si>
  <si>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</si>
  <si>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</si>
  <si>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</si>
  <si>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</si>
  <si>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</si>
  <si>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</si>
  <si>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</si>
  <si>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</si>
  <si>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</si>
  <si>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</si>
  <si>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</si>
  <si>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</si>
  <si>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</si>
  <si>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</si>
  <si>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</si>
  <si>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</si>
  <si>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</si>
  <si>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</si>
  <si>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</si>
  <si>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</si>
  <si>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</si>
  <si>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</si>
  <si>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</si>
  <si>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</si>
  <si>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</si>
  <si>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</si>
  <si>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</si>
  <si>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</si>
  <si>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</si>
  <si>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</si>
  <si>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</si>
  <si>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</si>
  <si>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</si>
  <si>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</si>
  <si>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</si>
  <si>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</si>
  <si>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</si>
  <si>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</si>
  <si>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</si>
  <si>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</si>
  <si>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</si>
  <si>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</si>
  <si>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</si>
  <si>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</si>
  <si>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</si>
  <si>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</si>
  <si>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</si>
  <si>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</si>
  <si>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</si>
  <si>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</si>
  <si>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</si>
  <si>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</si>
  <si>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</si>
  <si>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</si>
  <si>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</si>
  <si>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</si>
  <si>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</si>
  <si>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</si>
  <si>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</si>
  <si>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</si>
  <si>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</si>
  <si>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</si>
  <si>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</si>
  <si>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</si>
  <si>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</si>
  <si>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</si>
  <si>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</si>
  <si>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</si>
  <si>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</si>
  <si>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</si>
  <si>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</si>
  <si>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</si>
  <si>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</si>
  <si>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</si>
  <si>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</si>
  <si>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</si>
  <si>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</si>
  <si>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</si>
  <si>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</si>
  <si>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</si>
  <si>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</si>
  <si>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</si>
  <si>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</si>
  <si>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</si>
  <si>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</si>
  <si>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</si>
  <si>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</si>
  <si>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</si>
  <si>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</si>
  <si>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</si>
  <si>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</si>
  <si>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</si>
  <si>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</si>
  <si>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</si>
  <si>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</si>
  <si>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</si>
  <si>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</si>
  <si>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</si>
  <si>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</si>
  <si>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</si>
  <si>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</si>
  <si>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</si>
  <si>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</si>
  <si>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</si>
  <si>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</si>
  <si>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</si>
  <si>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</si>
  <si>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</si>
  <si>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</si>
  <si>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</si>
  <si>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</si>
  <si>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</si>
  <si>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</si>
  <si>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</si>
  <si>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</si>
  <si>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</si>
  <si>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</si>
  <si>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</si>
  <si>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</si>
  <si>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</si>
  <si>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</si>
  <si>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</si>
  <si>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</si>
  <si>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</si>
  <si>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</si>
  <si>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</si>
  <si>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</si>
  <si>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</si>
  <si>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</si>
  <si>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</si>
  <si>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</si>
  <si>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</si>
  <si>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</si>
  <si>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</si>
  <si>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</si>
  <si>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</si>
  <si>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</si>
  <si>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</si>
  <si>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</si>
  <si>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</si>
  <si>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</si>
  <si>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</si>
  <si>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</si>
  <si>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</si>
  <si>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</si>
  <si>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</si>
  <si>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</si>
  <si>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</si>
  <si>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</si>
  <si>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</si>
  <si>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</si>
  <si>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</si>
  <si>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</si>
  <si>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</si>
  <si>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</si>
  <si>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</si>
  <si>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</si>
  <si>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</si>
  <si>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</si>
  <si>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</si>
  <si>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</si>
  <si>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</si>
  <si>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</si>
  <si>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</si>
  <si>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</si>
  <si>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</si>
  <si>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</si>
  <si>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</si>
  <si>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</si>
  <si>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</si>
  <si>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</si>
  <si>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</si>
  <si>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</si>
  <si>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</si>
  <si>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</si>
  <si>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</si>
  <si>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</si>
  <si>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</si>
  <si>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</si>
  <si>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</si>
  <si>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</si>
  <si>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</si>
  <si>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</si>
  <si>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</si>
  <si>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</si>
  <si>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</si>
  <si>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</si>
  <si>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</si>
  <si>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</si>
  <si>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</si>
  <si>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</si>
  <si>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</si>
  <si>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</si>
  <si>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</si>
  <si>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</si>
  <si>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</si>
  <si>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</si>
  <si>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</si>
  <si>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</si>
  <si>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</si>
  <si>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</si>
  <si>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</si>
  <si>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</si>
  <si>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</si>
  <si>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</si>
  <si>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</si>
  <si>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</si>
  <si>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</si>
  <si>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</si>
  <si>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</si>
  <si>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</si>
  <si>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</si>
  <si>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</si>
  <si>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</si>
  <si>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</si>
  <si>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</si>
  <si>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</si>
  <si>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</si>
  <si>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</si>
  <si>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</si>
  <si>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</si>
  <si>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</si>
  <si>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</si>
  <si>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</si>
  <si>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</si>
  <si>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</si>
  <si>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</si>
  <si>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</si>
  <si>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</si>
  <si>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</si>
  <si>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</si>
  <si>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</si>
  <si>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</si>
  <si>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</si>
  <si>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</si>
  <si>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</si>
  <si>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</si>
  <si>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</si>
  <si>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</si>
  <si>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</si>
  <si>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</si>
  <si>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</si>
  <si>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</si>
  <si>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</si>
  <si>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</si>
  <si>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</si>
  <si>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</si>
  <si>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</si>
  <si>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</si>
  <si>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</si>
  <si>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</si>
  <si>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</si>
  <si>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</si>
  <si>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</si>
  <si>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</si>
  <si>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</si>
  <si>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</si>
  <si>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</si>
  <si>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</si>
  <si>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</si>
  <si>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</si>
  <si>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</si>
  <si>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</si>
  <si>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</si>
  <si>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</si>
  <si>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</si>
  <si>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</si>
  <si>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</si>
  <si>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</si>
  <si>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</si>
  <si>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</si>
  <si>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</si>
  <si>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</si>
  <si>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</si>
  <si>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</si>
  <si>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</si>
  <si>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</si>
  <si>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</si>
  <si>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</si>
  <si>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</si>
  <si>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</si>
  <si>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</si>
  <si>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</si>
  <si>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</si>
  <si>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</si>
  <si>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</si>
  <si>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</si>
  <si>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</si>
  <si>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</si>
  <si>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</si>
  <si>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</si>
  <si>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</si>
  <si>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</si>
  <si>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</si>
  <si>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</si>
  <si>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</si>
  <si>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</si>
  <si>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</si>
  <si>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</si>
  <si>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</si>
  <si>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</si>
  <si>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</si>
  <si>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</si>
  <si>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</si>
  <si>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</si>
  <si>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</si>
  <si>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</si>
  <si>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</si>
  <si>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</si>
  <si>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</si>
  <si>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</si>
  <si>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</si>
  <si>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</si>
  <si>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</si>
  <si>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</si>
  <si>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</si>
  <si>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</si>
  <si>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</si>
  <si>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</si>
  <si>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</si>
  <si>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</si>
  <si>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</si>
  <si>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</si>
  <si>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</si>
  <si>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</si>
  <si>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</si>
  <si>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</si>
  <si>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</si>
  <si>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</si>
  <si>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</si>
  <si>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</si>
  <si>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</si>
  <si>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</si>
  <si>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</si>
  <si>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</si>
  <si>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</si>
  <si>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</si>
  <si>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</si>
  <si>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</si>
  <si>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</si>
  <si>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</si>
  <si>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</si>
  <si>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</si>
  <si>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</si>
  <si>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</si>
  <si>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</si>
  <si>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</si>
  <si>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</si>
  <si>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</si>
  <si>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</si>
  <si>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</si>
  <si>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</si>
  <si>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</si>
  <si>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</si>
  <si>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</si>
  <si>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</si>
  <si>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</si>
  <si>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</si>
  <si>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</si>
  <si>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</si>
  <si>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</si>
  <si>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</si>
  <si>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</si>
  <si>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</si>
  <si>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</si>
  <si>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</si>
  <si>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</si>
  <si>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</si>
  <si>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</si>
  <si>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</si>
  <si>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</si>
  <si>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</si>
  <si>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</si>
  <si>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</si>
  <si>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</si>
  <si>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</si>
  <si>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</si>
  <si>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</si>
  <si>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</si>
  <si>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</si>
  <si>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</si>
  <si>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</si>
  <si>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</si>
  <si>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</si>
  <si>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</si>
  <si>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</si>
  <si>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</si>
  <si>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</si>
  <si>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</si>
  <si>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</si>
  <si>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</si>
  <si>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</si>
  <si>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</si>
  <si>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</si>
  <si>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</si>
  <si>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</si>
  <si>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</si>
  <si>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</si>
  <si>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</si>
  <si>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</si>
  <si>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</si>
  <si>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</si>
  <si>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</si>
  <si>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</si>
  <si>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</si>
  <si>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</si>
  <si>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</si>
  <si>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</si>
  <si>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</si>
  <si>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</si>
  <si>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</si>
  <si>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</si>
  <si>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</si>
  <si>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</si>
  <si>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</si>
  <si>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</si>
  <si>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</si>
  <si>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</si>
  <si>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</si>
  <si>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</si>
  <si>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</si>
  <si>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</si>
  <si>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</si>
  <si>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</si>
  <si>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</si>
  <si>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</si>
  <si>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</si>
  <si>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</si>
  <si>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</si>
  <si>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</si>
  <si>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</si>
  <si>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</si>
  <si>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</si>
  <si>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</si>
  <si>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</si>
  <si>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</si>
  <si>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</si>
  <si>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</si>
  <si>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</si>
  <si>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</si>
  <si>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</si>
  <si>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</si>
  <si>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</si>
  <si>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</si>
  <si>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</si>
  <si>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</si>
  <si>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</si>
  <si>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</si>
  <si>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</si>
  <si>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</si>
  <si>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</si>
  <si>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</si>
  <si>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</si>
  <si>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</si>
  <si>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</si>
  <si>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</si>
  <si>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</si>
  <si>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</si>
  <si>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</si>
  <si>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</si>
  <si>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</si>
  <si>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</si>
  <si>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</si>
  <si>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</si>
  <si>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</si>
  <si>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</si>
  <si>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</si>
  <si>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</si>
  <si>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</si>
  <si>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</si>
  <si>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</si>
  <si>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</si>
  <si>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</si>
  <si>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</si>
  <si>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</si>
  <si>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</si>
  <si>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</si>
  <si>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</si>
  <si>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</si>
  <si>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</si>
  <si>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</si>
  <si>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</si>
  <si>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</si>
  <si>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</si>
  <si>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</si>
  <si>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</si>
  <si>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</si>
  <si>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</si>
  <si>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</si>
  <si>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</si>
  <si>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</si>
  <si>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</si>
  <si>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</si>
  <si>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</si>
  <si>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</si>
  <si>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</si>
  <si>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</si>
  <si>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</si>
  <si>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</si>
  <si>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</si>
  <si>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</si>
  <si>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</si>
  <si>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</si>
  <si>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</si>
  <si>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</si>
  <si>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</si>
  <si>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</si>
  <si>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</si>
  <si>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</si>
  <si>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</si>
  <si>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</si>
  <si>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</si>
  <si>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</si>
  <si>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</si>
  <si>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</si>
  <si>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</si>
  <si>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</si>
  <si>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</si>
  <si>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</si>
  <si>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</si>
  <si>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</si>
  <si>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</si>
  <si>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</si>
  <si>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</si>
  <si>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</si>
  <si>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</si>
  <si>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</si>
  <si>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</si>
  <si>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</si>
  <si>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</si>
  <si>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</si>
  <si>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</si>
  <si>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</si>
  <si>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</si>
  <si>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</si>
  <si>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</si>
  <si>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</si>
  <si>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</si>
  <si>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</si>
  <si>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</si>
  <si>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</si>
  <si>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</si>
  <si>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</si>
  <si>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</si>
  <si>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</si>
  <si>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</si>
  <si>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</si>
  <si>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</si>
  <si>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</si>
  <si>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</si>
  <si>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</si>
  <si>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</si>
  <si>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</si>
  <si>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</si>
  <si>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</si>
  <si>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</si>
  <si>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</si>
  <si>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</si>
  <si>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</si>
  <si>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</si>
  <si>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</si>
  <si>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</si>
  <si>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</si>
  <si>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</si>
  <si>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</si>
  <si>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</si>
  <si>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</si>
  <si>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</si>
  <si>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</si>
  <si>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</si>
  <si>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</si>
  <si>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</si>
  <si>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</si>
  <si>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</si>
  <si>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</si>
  <si>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</si>
  <si>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</si>
  <si>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</si>
  <si>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</si>
  <si>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</si>
  <si>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</si>
  <si>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</si>
  <si>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</si>
  <si>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</si>
  <si>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</si>
  <si>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</si>
  <si>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</si>
  <si>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</si>
  <si>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</si>
  <si>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</si>
  <si>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</si>
  <si>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</si>
  <si>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</si>
  <si>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</si>
  <si>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</si>
  <si>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</si>
  <si>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</si>
  <si>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</si>
  <si>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</si>
  <si>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</si>
  <si>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</si>
  <si>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</si>
  <si>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</si>
  <si>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</si>
  <si>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</si>
  <si>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</si>
  <si>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</si>
  <si>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</si>
  <si>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</si>
  <si>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</si>
  <si>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</si>
  <si>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</si>
  <si>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</si>
  <si>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</si>
  <si>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</si>
  <si>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</si>
  <si>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</si>
  <si>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</si>
  <si>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</si>
  <si>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</si>
  <si>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</si>
  <si>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</si>
  <si>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</si>
  <si>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</si>
  <si>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</si>
  <si>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</si>
  <si>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</si>
  <si>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</si>
  <si>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</si>
  <si>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</si>
  <si>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</si>
  <si>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</si>
  <si>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</si>
  <si>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</si>
  <si>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</si>
  <si>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</si>
  <si>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</si>
  <si>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</si>
  <si>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</si>
  <si>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</si>
  <si>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</si>
  <si>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</si>
  <si>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</si>
  <si>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</si>
  <si>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</si>
  <si>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</si>
  <si>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</si>
  <si>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</si>
  <si>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</si>
  <si>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</si>
  <si>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</si>
  <si>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</si>
  <si>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</si>
  <si>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</si>
  <si>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</si>
  <si>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</si>
  <si>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</si>
  <si>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</si>
  <si>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</si>
  <si>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</si>
  <si>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</si>
  <si>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</si>
  <si>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</si>
  <si>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</si>
  <si>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</si>
  <si>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</si>
  <si>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</si>
  <si>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</si>
  <si>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</si>
  <si>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</si>
  <si>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</si>
  <si>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</si>
  <si>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</si>
  <si>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</si>
  <si>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</si>
  <si>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</si>
  <si>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</si>
  <si>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</si>
  <si>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</si>
  <si>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</si>
  <si>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</si>
  <si>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</si>
  <si>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</si>
  <si>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</si>
  <si>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</si>
  <si>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</si>
  <si>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</si>
  <si>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</si>
  <si>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</si>
  <si>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</si>
  <si>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</si>
  <si>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</si>
  <si>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</si>
  <si>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</si>
  <si>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</si>
  <si>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</si>
  <si>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</si>
  <si>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</si>
  <si>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</si>
  <si>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</si>
  <si>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</si>
  <si>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</si>
  <si>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</si>
  <si>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</si>
  <si>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</si>
  <si>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</si>
  <si>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</si>
  <si>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</si>
  <si>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</si>
  <si>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</si>
  <si>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</si>
  <si>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</si>
  <si>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</si>
  <si>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</si>
  <si>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</si>
  <si>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</si>
  <si>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</si>
  <si>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</si>
  <si>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</si>
  <si>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</si>
  <si>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</si>
  <si>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</si>
  <si>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</si>
  <si>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</si>
  <si>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</si>
  <si>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</si>
  <si>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</si>
  <si>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</si>
  <si>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</si>
  <si>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</si>
  <si>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</si>
  <si>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</si>
  <si>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</si>
  <si>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</si>
  <si>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</si>
  <si>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</si>
  <si>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</si>
  <si>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</si>
  <si>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</si>
  <si>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</si>
  <si>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</si>
  <si>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</si>
  <si>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</si>
  <si>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</si>
  <si>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</si>
  <si>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</si>
  <si>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</si>
  <si>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</si>
  <si>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</si>
  <si>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</si>
  <si>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</si>
  <si>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</si>
  <si>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</si>
  <si>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</si>
  <si>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</si>
  <si>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</si>
  <si>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</si>
  <si>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</si>
  <si>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</si>
  <si>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</si>
  <si>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</si>
  <si>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</si>
  <si>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</si>
  <si>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</si>
  <si>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</si>
  <si>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</si>
  <si>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</si>
  <si>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</si>
  <si>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</si>
  <si>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</si>
  <si>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</si>
  <si>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</si>
  <si>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</si>
  <si>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</si>
  <si>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</si>
  <si>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</si>
  <si>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</si>
  <si>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</si>
  <si>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</si>
  <si>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</si>
  <si>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</si>
  <si>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</si>
  <si>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</si>
  <si>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</si>
  <si>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</si>
  <si>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</si>
  <si>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</si>
  <si>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</si>
  <si>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</si>
  <si>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</si>
  <si>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</si>
  <si>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</si>
  <si>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</si>
  <si>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</si>
  <si>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</si>
  <si>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</si>
  <si>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</si>
  <si>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</si>
  <si>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</si>
  <si>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</si>
  <si>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</si>
  <si>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</si>
  <si>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</si>
  <si>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</si>
  <si>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</si>
  <si>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</si>
  <si>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</si>
  <si>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</si>
  <si>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</si>
  <si>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</si>
  <si>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</si>
  <si>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</si>
  <si>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</si>
  <si>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</si>
  <si>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</si>
  <si>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</si>
  <si>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</si>
  <si>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</si>
  <si>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</si>
  <si>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</si>
  <si>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</si>
  <si>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</si>
  <si>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</si>
  <si>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</si>
  <si>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</si>
  <si>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</si>
  <si>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</si>
  <si>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</si>
  <si>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</si>
  <si>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</si>
  <si>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</si>
  <si>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</si>
  <si>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</si>
  <si>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</si>
  <si>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</si>
  <si>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</si>
  <si>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</si>
  <si>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</si>
  <si>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</si>
  <si>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</si>
  <si>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</si>
  <si>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</si>
  <si>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</si>
  <si>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</si>
  <si>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</si>
  <si>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</si>
  <si>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</si>
  <si>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</si>
  <si>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</si>
  <si>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</si>
  <si>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</si>
  <si>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</si>
  <si>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</si>
  <si>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</si>
  <si>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</si>
  <si>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</si>
  <si>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</si>
  <si>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</si>
  <si>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</si>
  <si>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</si>
  <si>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</si>
  <si>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</si>
  <si>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</si>
  <si>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</si>
  <si>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</si>
  <si>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</si>
  <si>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</si>
  <si>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</si>
  <si>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</si>
  <si>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</si>
  <si>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</si>
  <si>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</si>
  <si>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</si>
  <si>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</si>
  <si>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</si>
  <si>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</si>
  <si>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</si>
  <si>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</si>
  <si>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</si>
  <si>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</si>
  <si>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</si>
  <si>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</si>
  <si>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</si>
  <si>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</si>
  <si>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</si>
  <si>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</si>
  <si>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</si>
  <si>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</si>
  <si>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</si>
  <si>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</si>
  <si>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</si>
  <si>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</si>
  <si>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</si>
  <si>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</si>
  <si>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</si>
  <si>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</si>
  <si>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</si>
  <si>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</si>
  <si>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</si>
  <si>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</si>
  <si>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</si>
  <si>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</si>
  <si>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</si>
  <si>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</si>
  <si>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</si>
  <si>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</si>
  <si>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</si>
  <si>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</si>
  <si>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</si>
  <si>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</si>
  <si>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</si>
  <si>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</si>
  <si>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</si>
  <si>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</si>
  <si>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</si>
  <si>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</si>
  <si>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</si>
  <si>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</si>
  <si>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</si>
  <si>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</si>
  <si>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</si>
  <si>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</si>
  <si>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</si>
  <si>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</si>
  <si>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</si>
  <si>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</si>
  <si>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</si>
  <si>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</si>
  <si>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</si>
  <si>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</si>
  <si>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</si>
  <si>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</si>
  <si>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</si>
  <si>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</si>
  <si>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</si>
  <si>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</si>
  <si>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</si>
  <si>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</si>
  <si>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</si>
  <si>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</si>
  <si>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</si>
  <si>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</si>
  <si>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</si>
  <si>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</si>
  <si>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</si>
  <si>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</si>
  <si>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</si>
  <si>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</si>
  <si>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</si>
  <si>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</si>
  <si>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</si>
  <si>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</si>
  <si>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</si>
  <si>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</si>
  <si>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</si>
  <si>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</si>
  <si>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</si>
  <si>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</si>
  <si>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</si>
  <si>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</si>
  <si>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</si>
  <si>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</si>
  <si>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</si>
  <si>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</si>
  <si>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</si>
  <si>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</si>
  <si>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</si>
  <si>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</si>
  <si>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</si>
  <si>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</si>
  <si>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</si>
  <si>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</si>
  <si>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</si>
  <si>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</si>
  <si>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</si>
  <si>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</si>
  <si>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</si>
  <si>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</si>
  <si>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</si>
  <si>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</si>
  <si>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</si>
  <si>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</si>
  <si>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</si>
  <si>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</si>
  <si>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</si>
  <si>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</si>
  <si>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</si>
  <si>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</si>
  <si>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</si>
  <si>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</si>
  <si>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</si>
  <si>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</si>
  <si>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</si>
  <si>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</si>
  <si>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</si>
  <si>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</si>
  <si>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</si>
  <si>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</si>
  <si>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</si>
  <si>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</si>
  <si>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</si>
  <si>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</si>
  <si>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</si>
  <si>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</si>
  <si>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</si>
  <si>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</si>
  <si>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</si>
  <si>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</si>
  <si>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</si>
  <si>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</si>
  <si>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</si>
  <si>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</si>
  <si>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</si>
  <si>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</si>
  <si>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</si>
  <si>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</si>
  <si>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</si>
  <si>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</si>
  <si>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</si>
  <si>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</si>
  <si>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</si>
  <si>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</si>
  <si>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</si>
  <si>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</si>
  <si>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</si>
  <si>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</si>
  <si>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</si>
  <si>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</si>
  <si>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</si>
  <si>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</si>
  <si>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</si>
  <si>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</si>
  <si>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</si>
  <si>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</si>
  <si>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</si>
  <si>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</si>
  <si>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</si>
  <si>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</si>
  <si>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</si>
  <si>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</si>
  <si>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</si>
  <si>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</si>
  <si>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</si>
  <si>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</si>
  <si>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</si>
  <si>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</si>
  <si>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</si>
  <si>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</si>
  <si>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</si>
  <si>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</si>
  <si>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</si>
  <si>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</si>
  <si>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</si>
  <si>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</si>
  <si>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</si>
  <si>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</si>
  <si>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</si>
  <si>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</si>
  <si>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</si>
  <si>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</si>
  <si>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</si>
  <si>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</si>
  <si>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</si>
  <si>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</si>
  <si>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</si>
  <si>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</si>
  <si>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</si>
  <si>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</si>
  <si>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</si>
  <si>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</si>
  <si>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</si>
  <si>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</si>
  <si>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</si>
  <si>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</si>
  <si>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</si>
  <si>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</si>
  <si>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</si>
  <si>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</si>
  <si>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</si>
  <si>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</si>
  <si>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</si>
  <si>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</si>
  <si>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</si>
  <si>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</si>
  <si>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</si>
  <si>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</si>
  <si>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</si>
  <si>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</si>
  <si>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</si>
  <si>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</si>
  <si>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</si>
  <si>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</si>
  <si>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</si>
  <si>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</si>
  <si>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</si>
  <si>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</si>
  <si>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</si>
  <si>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</si>
  <si>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</si>
  <si>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</si>
  <si>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</si>
  <si>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</si>
  <si>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</si>
  <si>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</si>
  <si>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</si>
  <si>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</si>
  <si>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</si>
  <si>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</si>
  <si>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</si>
  <si>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</si>
  <si>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</si>
  <si>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</si>
  <si>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</si>
  <si>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</si>
  <si>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</si>
  <si>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</si>
  <si>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</si>
  <si>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</si>
  <si>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</si>
  <si>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</si>
  <si>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</si>
  <si>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</si>
  <si>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</si>
  <si>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</si>
  <si>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</si>
  <si>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</si>
  <si>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</si>
  <si>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</si>
  <si>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</si>
  <si>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</si>
  <si>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</si>
  <si>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</si>
  <si>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</si>
  <si>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</si>
  <si>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</si>
  <si>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</si>
  <si>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</si>
  <si>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</si>
  <si>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</si>
  <si>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</si>
  <si>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</si>
  <si>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</si>
  <si>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</si>
  <si>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</si>
  <si>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</si>
  <si>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</si>
  <si>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</si>
  <si>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</si>
  <si>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</si>
  <si>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</si>
  <si>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</si>
  <si>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</si>
  <si>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</si>
  <si>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</si>
  <si>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</si>
  <si>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</si>
  <si>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</si>
  <si>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</si>
  <si>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</si>
  <si>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</si>
  <si>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</si>
  <si>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</si>
  <si>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</si>
  <si>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</si>
  <si>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</si>
  <si>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</si>
  <si>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</si>
  <si>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</si>
  <si>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</si>
  <si>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</si>
  <si>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</si>
  <si>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</si>
  <si>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</si>
  <si>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</si>
  <si>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</si>
  <si>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</si>
  <si>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</si>
  <si>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</si>
  <si>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</si>
  <si>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</si>
  <si>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</si>
  <si>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</si>
  <si>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</si>
  <si>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</si>
  <si>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</si>
  <si>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</si>
  <si>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</si>
  <si>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</si>
  <si>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</si>
  <si>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</si>
  <si>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</si>
  <si>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</si>
  <si>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</si>
  <si>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</si>
  <si>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</si>
  <si>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</si>
  <si>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</si>
  <si>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</si>
  <si>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</si>
  <si>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</si>
  <si>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</si>
  <si>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</si>
  <si>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</si>
  <si>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</si>
  <si>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</si>
  <si>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</si>
  <si>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</si>
  <si>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</si>
  <si>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</si>
  <si>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</si>
  <si>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</si>
  <si>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</si>
  <si>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</si>
  <si>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</si>
  <si>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</si>
  <si>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</si>
  <si>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</si>
  <si>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</si>
  <si>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</si>
  <si>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</si>
  <si>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</si>
  <si>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</si>
  <si>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</si>
  <si>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</si>
  <si>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</si>
  <si>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</si>
  <si>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</si>
  <si>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</si>
  <si>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</si>
  <si>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</si>
  <si>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</si>
  <si>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</si>
  <si>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</si>
  <si>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</si>
  <si>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</si>
  <si>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</si>
  <si>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</si>
  <si>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</si>
  <si>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</si>
  <si>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</si>
  <si>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</si>
  <si>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</si>
  <si>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</si>
  <si>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</si>
  <si>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</si>
  <si>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</si>
  <si>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</si>
  <si>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</si>
  <si>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</si>
  <si>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</si>
  <si>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</si>
  <si>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</si>
  <si>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</si>
  <si>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</si>
  <si>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</si>
  <si>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</si>
  <si>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</si>
  <si>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</si>
  <si>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</si>
  <si>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</si>
  <si>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</si>
  <si>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</si>
  <si>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</si>
  <si>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</si>
  <si>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</si>
  <si>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</si>
  <si>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</si>
  <si>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</si>
  <si>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</si>
  <si>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</si>
  <si>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</si>
  <si>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</si>
  <si>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</si>
  <si>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</si>
  <si>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</si>
  <si>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</si>
  <si>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</si>
  <si>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</si>
  <si>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</si>
  <si>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</si>
  <si>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</si>
  <si>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</si>
  <si>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</si>
  <si>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</si>
  <si>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</si>
  <si>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</si>
  <si>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</si>
  <si>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</si>
  <si>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</si>
  <si>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</si>
  <si>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</si>
  <si>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</si>
  <si>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</si>
  <si>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</si>
  <si>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</si>
  <si>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</si>
  <si>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</si>
  <si>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</si>
  <si>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</si>
  <si>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</si>
  <si>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</si>
  <si>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</si>
  <si>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</si>
  <si>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</si>
  <si>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</si>
  <si>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</si>
  <si>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</si>
  <si>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</si>
  <si>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</si>
  <si>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</si>
  <si>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</si>
  <si>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</si>
  <si>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</si>
  <si>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</si>
  <si>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</si>
  <si>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</si>
  <si>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</si>
  <si>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</si>
  <si>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</si>
  <si>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</si>
  <si>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</si>
  <si>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</si>
  <si>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</si>
  <si>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</si>
  <si>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</si>
  <si>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</si>
  <si>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</si>
  <si>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</si>
  <si>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</si>
  <si>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</si>
  <si>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</si>
  <si>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</si>
  <si>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</si>
  <si>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</si>
  <si>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</si>
  <si>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</si>
  <si>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</si>
  <si>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</si>
  <si>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</si>
  <si>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</si>
  <si>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</si>
  <si>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</si>
  <si>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</si>
  <si>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</si>
  <si>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</si>
  <si>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</si>
  <si>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</si>
  <si>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</si>
  <si>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</si>
  <si>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</si>
  <si>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</si>
  <si>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</si>
  <si>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</si>
  <si>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</si>
  <si>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</si>
  <si>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</si>
  <si>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</si>
  <si>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</si>
  <si>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</si>
  <si>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</si>
  <si>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</si>
  <si>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</si>
  <si>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</si>
  <si>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</si>
  <si>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</si>
  <si>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</si>
  <si>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</si>
  <si>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</si>
  <si>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</si>
  <si>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</si>
  <si>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</si>
  <si>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</si>
  <si>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</si>
  <si>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</si>
  <si>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</si>
  <si>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</si>
  <si>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</si>
  <si>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</si>
  <si>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</si>
  <si>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</si>
  <si>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</si>
  <si>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</si>
  <si>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</si>
  <si>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</si>
  <si>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</si>
  <si>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</si>
  <si>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</si>
  <si>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</si>
  <si>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</si>
  <si>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</si>
  <si>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</si>
  <si>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</si>
  <si>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</si>
  <si>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</si>
  <si>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</si>
  <si>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</si>
  <si>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</si>
  <si>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</si>
  <si>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</si>
  <si>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</si>
  <si>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</si>
  <si>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</si>
  <si>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</si>
  <si>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</si>
  <si>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</si>
  <si>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</si>
  <si>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</si>
  <si>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</si>
  <si>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</si>
  <si>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</si>
  <si>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</si>
  <si>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</si>
  <si>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</si>
  <si>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</si>
  <si>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</si>
  <si>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</si>
  <si>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</si>
  <si>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</si>
  <si>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</si>
  <si>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</si>
  <si>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</si>
  <si>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</si>
  <si>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</si>
  <si>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</si>
  <si>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</si>
  <si>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</si>
  <si>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</si>
  <si>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</si>
  <si>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</si>
  <si>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</si>
  <si>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</si>
  <si>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</si>
  <si>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</si>
  <si>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</si>
  <si>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</si>
  <si>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</si>
  <si>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</si>
  <si>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</si>
  <si>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</si>
  <si>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</si>
  <si>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</si>
  <si>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</si>
  <si>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</si>
  <si>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</si>
  <si>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</si>
  <si>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</si>
  <si>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</si>
  <si>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</si>
  <si>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</si>
  <si>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</si>
  <si>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</si>
  <si>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</si>
  <si>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</si>
  <si>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</si>
  <si>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</si>
  <si>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</si>
  <si>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</si>
  <si>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</si>
  <si>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</si>
  <si>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</si>
  <si>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</si>
  <si>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</si>
  <si>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</si>
  <si>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</si>
  <si>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</si>
  <si>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</si>
  <si>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</si>
  <si>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</si>
  <si>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</si>
  <si>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</si>
  <si>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</si>
  <si>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</si>
  <si>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</si>
  <si>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</si>
  <si>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</si>
  <si>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</si>
  <si>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</si>
  <si>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</si>
  <si>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</si>
  <si>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</si>
  <si>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</si>
  <si>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</si>
  <si>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</si>
  <si>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</si>
  <si>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</si>
  <si>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</si>
  <si>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</si>
  <si>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</si>
  <si>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</si>
  <si>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</si>
  <si>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</si>
  <si>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</si>
  <si>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</si>
  <si>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</si>
  <si>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</si>
  <si>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</si>
  <si>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</si>
  <si>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</si>
  <si>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</si>
  <si>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</si>
  <si>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</si>
  <si>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</si>
  <si>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</si>
  <si>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</si>
  <si>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</si>
  <si>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</si>
  <si>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</si>
  <si>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</si>
  <si>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</si>
  <si>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</si>
  <si>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</si>
  <si>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</si>
  <si>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</si>
  <si>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</si>
  <si>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</si>
  <si>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</si>
  <si>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</si>
  <si>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</si>
  <si>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</si>
  <si>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</si>
  <si>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</si>
  <si>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</si>
  <si>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</si>
  <si>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</si>
  <si>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</si>
  <si>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</si>
  <si>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</si>
  <si>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</si>
  <si>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</si>
  <si>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</si>
  <si>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</si>
  <si>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</si>
  <si>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</si>
  <si>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</si>
  <si>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</si>
  <si>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</si>
  <si>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</si>
  <si>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</si>
  <si>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</si>
  <si>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</si>
  <si>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</si>
  <si>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</si>
  <si>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</si>
  <si>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</si>
  <si>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</si>
  <si>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</si>
  <si>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</si>
  <si>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</si>
  <si>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</si>
  <si>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</si>
  <si>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</si>
  <si>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</si>
  <si>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</si>
  <si>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</si>
  <si>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</si>
  <si>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</si>
  <si>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</si>
  <si>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</si>
  <si>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</si>
  <si>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</si>
  <si>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</si>
  <si>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</si>
  <si>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</si>
  <si>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</si>
  <si>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</si>
  <si>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</si>
  <si>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</si>
  <si>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</si>
  <si>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</si>
  <si>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</si>
  <si>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</si>
  <si>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</si>
  <si>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</si>
  <si>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</si>
  <si>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</si>
  <si>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</si>
  <si>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</si>
  <si>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</si>
  <si>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</si>
  <si>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</si>
  <si>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</si>
  <si>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</si>
  <si>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</si>
  <si>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</si>
  <si>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</si>
  <si>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</si>
  <si>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</si>
  <si>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</si>
  <si>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</si>
  <si>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</si>
  <si>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</si>
  <si>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</si>
  <si>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</si>
  <si>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</si>
  <si>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</si>
  <si>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</si>
  <si>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</si>
  <si>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</si>
  <si>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</si>
  <si>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</si>
  <si>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</si>
  <si>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</si>
  <si>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</si>
  <si>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</si>
  <si>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</si>
  <si>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</si>
  <si>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</si>
  <si>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</si>
  <si>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</si>
  <si>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</si>
  <si>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</si>
  <si>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</si>
  <si>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</si>
  <si>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</si>
  <si>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</si>
  <si>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</si>
  <si>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</si>
  <si>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</si>
  <si>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</si>
  <si>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</si>
  <si>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</si>
  <si>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</si>
  <si>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</si>
  <si>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</si>
  <si>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</si>
  <si>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</si>
  <si>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</si>
  <si>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</si>
  <si>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</si>
  <si>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</si>
  <si>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</si>
  <si>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</si>
  <si>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</si>
  <si>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</si>
  <si>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</si>
  <si>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</si>
  <si>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</si>
  <si>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</si>
  <si>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</si>
  <si>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</si>
  <si>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</si>
  <si>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</si>
  <si>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</si>
  <si>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</si>
  <si>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</si>
  <si>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</si>
  <si>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</si>
  <si>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</si>
  <si>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</si>
  <si>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</si>
  <si>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</si>
  <si>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</si>
  <si>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</si>
  <si>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</si>
  <si>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</si>
  <si>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</si>
  <si>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</si>
  <si>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</si>
  <si>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</si>
  <si>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</si>
  <si>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</si>
  <si>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</si>
  <si>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</si>
  <si>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</si>
  <si>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</si>
  <si>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</si>
  <si>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</si>
  <si>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</si>
  <si>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</si>
  <si>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</si>
  <si>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</si>
  <si>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</si>
  <si>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</si>
  <si>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</si>
  <si>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</si>
  <si>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</si>
  <si>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</si>
  <si>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</si>
  <si>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</si>
  <si>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</si>
  <si>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</si>
  <si>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</si>
  <si>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</si>
  <si>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</si>
  <si>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</si>
  <si>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</si>
  <si>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</si>
  <si>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</si>
  <si>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</si>
  <si>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</si>
  <si>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</si>
  <si>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</si>
  <si>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</si>
  <si>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</si>
  <si>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</si>
  <si>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</si>
  <si>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</si>
  <si>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</si>
  <si>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</si>
  <si>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</si>
  <si>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</si>
  <si>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</si>
  <si>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</si>
  <si>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</si>
  <si>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</si>
  <si>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</si>
  <si>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</si>
  <si>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</si>
  <si>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</si>
  <si>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</si>
  <si>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</si>
  <si>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</si>
  <si>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</si>
  <si>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</si>
  <si>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</si>
  <si>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</si>
  <si>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</si>
  <si>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</si>
  <si>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</si>
  <si>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</si>
  <si>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</si>
  <si>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</si>
  <si>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</si>
  <si>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</si>
  <si>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</si>
  <si>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</si>
  <si>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</si>
  <si>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</si>
  <si>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</si>
  <si>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</si>
  <si>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</si>
  <si>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</si>
  <si>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</si>
  <si>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</si>
  <si>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</si>
  <si>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</si>
  <si>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</si>
  <si>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</si>
  <si>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</si>
  <si>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</si>
  <si>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</si>
  <si>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</si>
  <si>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</si>
  <si>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</si>
  <si>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</si>
  <si>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</si>
  <si>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</si>
  <si>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</si>
  <si>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</si>
  <si>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</si>
  <si>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</si>
  <si>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</si>
  <si>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</si>
  <si>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</si>
  <si>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</si>
  <si>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</si>
  <si>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</si>
  <si>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</si>
  <si>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</si>
  <si>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</si>
  <si>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</si>
  <si>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</si>
  <si>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</si>
  <si>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</si>
  <si>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</si>
  <si>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</si>
  <si>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</si>
  <si>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</si>
  <si>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</si>
  <si>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</si>
  <si>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</si>
  <si>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</si>
  <si>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</si>
  <si>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</si>
  <si>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</si>
  <si>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</si>
  <si>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</si>
  <si>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</si>
  <si>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</si>
  <si>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</si>
  <si>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</si>
  <si>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</si>
  <si>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</si>
  <si>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</si>
  <si>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</si>
  <si>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</si>
  <si>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</si>
  <si>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</si>
  <si>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</si>
  <si>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</si>
  <si>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</si>
  <si>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</si>
  <si>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</si>
  <si>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</si>
  <si>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</si>
  <si>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</si>
  <si>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</si>
  <si>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</si>
  <si>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</si>
  <si>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</si>
  <si>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</si>
  <si>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</si>
  <si>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</si>
  <si>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</si>
  <si>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</si>
  <si>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</si>
  <si>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</si>
  <si>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</si>
  <si>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</si>
  <si>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</si>
  <si>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</si>
  <si>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</si>
  <si>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</si>
  <si>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</si>
  <si>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</si>
  <si>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</si>
  <si>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</si>
  <si>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</si>
  <si>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</si>
  <si>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</si>
  <si>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</si>
  <si>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</si>
  <si>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</si>
  <si>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</si>
  <si>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</si>
  <si>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</si>
  <si>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</si>
  <si>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</si>
  <si>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</si>
  <si>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</si>
  <si>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</si>
  <si>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</si>
  <si>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</si>
  <si>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</si>
  <si>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</si>
  <si>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</si>
  <si>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</si>
  <si>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</si>
  <si>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</si>
  <si>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</si>
  <si>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</si>
  <si>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</si>
  <si>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</si>
  <si>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</si>
  <si>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</si>
  <si>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</si>
  <si>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</si>
  <si>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</si>
  <si>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</si>
  <si>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</si>
  <si>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</si>
  <si>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</si>
  <si>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</si>
  <si>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</si>
  <si>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</si>
  <si>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</si>
  <si>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</si>
  <si>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</si>
  <si>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</si>
  <si>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</si>
  <si>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</si>
  <si>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</si>
  <si>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</si>
  <si>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</si>
  <si>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</si>
  <si>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</si>
  <si>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</si>
  <si>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</si>
  <si>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</si>
  <si>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</si>
  <si>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</si>
  <si>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</si>
  <si>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</si>
  <si>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</si>
  <si>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</si>
  <si>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</si>
  <si>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</si>
  <si>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</si>
  <si>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</si>
  <si>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</si>
  <si>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</si>
  <si>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</si>
  <si>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</si>
  <si>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</si>
  <si>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</si>
  <si>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</si>
  <si>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</si>
  <si>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</si>
  <si>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</si>
  <si>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</si>
  <si>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</si>
  <si>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</si>
  <si>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</si>
  <si>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</si>
  <si>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</si>
  <si>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</si>
  <si>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</si>
  <si>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</si>
  <si>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</si>
  <si>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</si>
  <si>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</si>
  <si>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</si>
  <si>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</si>
  <si>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</si>
  <si>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</si>
  <si>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</si>
  <si>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</si>
  <si>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</si>
  <si>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</si>
  <si>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</si>
  <si>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</si>
  <si>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</si>
  <si>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</si>
  <si>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</si>
  <si>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</si>
  <si>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</si>
  <si>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</si>
  <si>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</si>
  <si>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</si>
  <si>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</si>
  <si>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</si>
  <si>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</si>
  <si>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</si>
  <si>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</si>
  <si>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</si>
  <si>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</si>
  <si>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</si>
  <si>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</si>
  <si>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</si>
  <si>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</si>
  <si>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</si>
  <si>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</si>
  <si>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</si>
  <si>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</si>
  <si>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</si>
  <si>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</si>
  <si>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</si>
  <si>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</si>
  <si>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</si>
  <si>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</si>
  <si>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</si>
  <si>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</si>
  <si>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</si>
  <si>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</si>
  <si>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</si>
  <si>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</si>
  <si>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</si>
  <si>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</si>
  <si>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</si>
  <si>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</si>
  <si>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</si>
  <si>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</si>
  <si>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</si>
  <si>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</si>
  <si>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</si>
  <si>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</si>
  <si>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</si>
  <si>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</si>
  <si>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</si>
  <si>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</si>
  <si>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</si>
  <si>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</si>
  <si>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</si>
  <si>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</si>
  <si>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</si>
  <si>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</si>
  <si>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</si>
  <si>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</si>
  <si>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</si>
  <si>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</si>
  <si>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</si>
  <si>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</si>
  <si>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</si>
  <si>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</si>
  <si>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</si>
  <si>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</si>
  <si>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</si>
  <si>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</si>
  <si>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</si>
  <si>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</si>
  <si>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</si>
  <si>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</si>
  <si>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</si>
  <si>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</si>
  <si>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</si>
  <si>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</si>
  <si>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</si>
  <si>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</si>
  <si>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</si>
  <si>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</si>
  <si>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</si>
  <si>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</si>
  <si>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</si>
  <si>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</si>
  <si>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</si>
  <si>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</si>
  <si>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</si>
  <si>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</si>
  <si>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</si>
  <si>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</si>
  <si>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</si>
  <si>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</si>
  <si>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</si>
  <si>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</si>
  <si>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</si>
  <si>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</si>
  <si>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</si>
  <si>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</si>
  <si>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</si>
  <si>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</si>
  <si>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</si>
  <si>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</si>
  <si>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</si>
  <si>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</si>
  <si>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</si>
  <si>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</si>
  <si>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</si>
  <si>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</si>
  <si>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</si>
  <si>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</si>
  <si>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</si>
  <si>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</si>
  <si>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</si>
  <si>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</si>
  <si>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</si>
  <si>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</si>
  <si>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</si>
  <si>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</si>
  <si>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</si>
  <si>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</si>
  <si>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</si>
  <si>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</si>
  <si>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</si>
  <si>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</si>
  <si>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</si>
  <si>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</si>
  <si>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</si>
  <si>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</si>
  <si>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</si>
  <si>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</si>
  <si>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</si>
  <si>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</si>
  <si>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</si>
  <si>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</si>
  <si>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</si>
  <si>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</si>
  <si>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</si>
  <si>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</si>
  <si>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</si>
  <si>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</si>
  <si>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</si>
  <si>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</si>
  <si>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</si>
  <si>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</si>
  <si>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</si>
  <si>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</si>
  <si>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</si>
  <si>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</si>
  <si>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</si>
  <si>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</si>
  <si>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</si>
  <si>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</si>
  <si>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</si>
  <si>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</si>
  <si>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</si>
  <si>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</si>
  <si>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</si>
  <si>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</si>
  <si>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</si>
  <si>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</si>
  <si>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</si>
  <si>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</si>
  <si>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</si>
  <si>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</si>
  <si>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</si>
  <si>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</si>
  <si>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</si>
  <si>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</si>
  <si>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</si>
  <si>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</si>
  <si>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</si>
  <si>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</si>
  <si>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</si>
  <si>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</si>
  <si>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</si>
  <si>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</si>
  <si>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</si>
  <si>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</si>
  <si>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</si>
  <si>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</si>
  <si>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</si>
  <si>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</si>
  <si>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</si>
  <si>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</si>
  <si>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</si>
  <si>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</si>
  <si>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</si>
  <si>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</si>
  <si>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</si>
  <si>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</si>
  <si>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</si>
  <si>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</si>
  <si>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</si>
  <si>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</si>
  <si>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</si>
  <si>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</si>
  <si>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</si>
  <si>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</si>
  <si>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</si>
  <si>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</si>
  <si>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</si>
  <si>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</si>
  <si>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</si>
  <si>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</si>
  <si>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</si>
  <si>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</si>
  <si>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</si>
  <si>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</si>
  <si>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</si>
  <si>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</si>
  <si>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</si>
  <si>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</si>
  <si>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</si>
  <si>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</si>
  <si>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</si>
  <si>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</si>
  <si>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</si>
  <si>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</si>
  <si>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</si>
  <si>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</si>
  <si>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</si>
  <si>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</si>
  <si>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</si>
  <si>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</si>
  <si>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</si>
  <si>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</si>
  <si>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</si>
  <si>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</si>
  <si>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</si>
  <si>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</si>
  <si>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</si>
  <si>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</si>
  <si>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</si>
  <si>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</si>
  <si>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</si>
  <si>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</si>
  <si>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</si>
  <si>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</si>
  <si>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</si>
  <si>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</si>
  <si>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</si>
  <si>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</si>
  <si>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</si>
  <si>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</si>
  <si>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</si>
  <si>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</si>
  <si>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</si>
  <si>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</si>
  <si>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</si>
  <si>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</si>
  <si>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</si>
  <si>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</si>
  <si>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</si>
  <si>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</si>
  <si>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</si>
  <si>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</si>
  <si>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</si>
  <si>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</si>
  <si>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</si>
  <si>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</si>
  <si>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</si>
  <si>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</si>
  <si>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</si>
  <si>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</si>
  <si>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</si>
  <si>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</si>
  <si>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</si>
  <si>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</si>
  <si>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</si>
  <si>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</si>
  <si>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</si>
  <si>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</si>
  <si>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</si>
  <si>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</si>
  <si>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</si>
  <si>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</si>
  <si>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</si>
  <si>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</si>
  <si>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</si>
  <si>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</si>
  <si>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</si>
  <si>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</si>
  <si>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</si>
  <si>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</si>
  <si>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</si>
  <si>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</si>
  <si>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</si>
  <si>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</si>
  <si>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</si>
  <si>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</si>
  <si>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</si>
  <si>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</si>
  <si>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</si>
  <si>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</si>
  <si>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</si>
  <si>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</si>
  <si>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</si>
  <si>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</si>
  <si>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</si>
  <si>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</si>
  <si>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</si>
  <si>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</si>
  <si>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</si>
  <si>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</si>
  <si>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</si>
  <si>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</si>
  <si>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</si>
  <si>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</si>
  <si>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</si>
  <si>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</si>
  <si>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</si>
  <si>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</si>
  <si>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</si>
  <si>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</si>
  <si>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</si>
  <si>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</si>
  <si>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</si>
  <si>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</si>
  <si>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</si>
  <si>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</si>
  <si>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</si>
  <si>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</si>
  <si>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</si>
  <si>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</si>
  <si>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</si>
  <si>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</si>
  <si>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</si>
  <si>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</si>
  <si>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</si>
  <si>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</si>
  <si>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</si>
  <si>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</si>
  <si>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</si>
  <si>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</si>
  <si>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</si>
  <si>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</si>
  <si>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</si>
  <si>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</si>
  <si>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</si>
  <si>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</si>
  <si>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</si>
  <si>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</si>
  <si>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</si>
  <si>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</si>
  <si>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</si>
  <si>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</si>
  <si>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</si>
  <si>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</si>
  <si>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</si>
  <si>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</si>
  <si>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</si>
  <si>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</si>
  <si>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</si>
  <si>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</si>
  <si>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</si>
  <si>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</si>
  <si>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</si>
  <si>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</si>
  <si>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</si>
  <si>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</si>
  <si>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</si>
  <si>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</si>
  <si>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</si>
  <si>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</si>
  <si>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</si>
  <si>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</si>
  <si>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</si>
  <si>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</si>
  <si>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</si>
  <si>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</si>
  <si>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</si>
  <si>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</si>
  <si>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</si>
  <si>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</si>
  <si>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</si>
  <si>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</si>
  <si>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</si>
  <si>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</si>
  <si>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</si>
  <si>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</si>
  <si>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</si>
  <si>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</si>
  <si>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</si>
  <si>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</si>
  <si>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</si>
  <si>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</si>
  <si>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</si>
  <si>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</si>
  <si>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</si>
  <si>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</si>
  <si>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</si>
  <si>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</si>
  <si>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</si>
  <si>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</si>
  <si>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</si>
  <si>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</si>
  <si>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</si>
  <si>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</si>
  <si>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</si>
  <si>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</si>
  <si>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</si>
  <si>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</si>
  <si>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</si>
  <si>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</si>
  <si>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</si>
  <si>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</si>
  <si>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</si>
  <si>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</si>
  <si>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</si>
  <si>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</si>
  <si>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</si>
  <si>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</si>
  <si>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</si>
  <si>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</si>
  <si>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</si>
  <si>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</si>
  <si>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</si>
  <si>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</si>
  <si>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</si>
  <si>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</si>
  <si>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</si>
  <si>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</si>
  <si>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</si>
  <si>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</si>
  <si>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</si>
  <si>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</si>
  <si>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</si>
  <si>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</si>
  <si>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</si>
  <si>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</si>
  <si>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</si>
  <si>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</si>
  <si>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</si>
  <si>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</si>
  <si>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</si>
  <si>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</si>
  <si>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</si>
  <si>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</si>
  <si>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</si>
  <si>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</si>
  <si>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</si>
  <si>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</si>
  <si>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</si>
  <si>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</si>
  <si>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</si>
  <si>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</si>
  <si>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</si>
  <si>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</si>
  <si>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</si>
  <si>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</si>
  <si>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</si>
  <si>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</si>
  <si>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</si>
  <si>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</si>
  <si>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</si>
  <si>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</si>
  <si>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</si>
  <si>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</si>
  <si>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</si>
  <si>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</si>
  <si>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</si>
  <si>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</si>
  <si>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</si>
  <si>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</si>
  <si>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</si>
  <si>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</si>
  <si>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</si>
  <si>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</si>
  <si>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</si>
  <si>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</si>
  <si>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</si>
  <si>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</si>
  <si>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</si>
  <si>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</si>
  <si>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</si>
  <si>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</si>
  <si>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</si>
  <si>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</si>
  <si>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</si>
  <si>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</si>
  <si>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</si>
  <si>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</si>
  <si>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</si>
  <si>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</si>
  <si>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</si>
  <si>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</si>
  <si>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</si>
  <si>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</si>
  <si>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</si>
  <si>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</si>
  <si>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</si>
  <si>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</si>
  <si>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</si>
  <si>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</si>
  <si>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</si>
  <si>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</si>
  <si>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</si>
  <si>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</si>
  <si>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</si>
  <si>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</si>
  <si>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</si>
  <si>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</si>
  <si>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</si>
  <si>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</si>
  <si>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</si>
  <si>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</si>
  <si>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</si>
  <si>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</si>
  <si>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</si>
  <si>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</si>
  <si>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</si>
  <si>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</si>
  <si>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</si>
  <si>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</si>
  <si>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</si>
  <si>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</si>
  <si>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</si>
  <si>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</si>
  <si>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</si>
  <si>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</si>
  <si>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</si>
  <si>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</si>
  <si>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</si>
  <si>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</si>
  <si>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</si>
  <si>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</si>
  <si>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</si>
  <si>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</si>
  <si>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</si>
  <si>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</si>
  <si>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</si>
  <si>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</si>
  <si>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</si>
  <si>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</si>
  <si>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</si>
  <si>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</si>
  <si>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</si>
  <si>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</si>
  <si>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</si>
  <si>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</si>
  <si>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</si>
  <si>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</si>
  <si>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</si>
  <si>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</si>
  <si>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</si>
  <si>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</si>
  <si>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</si>
  <si>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</si>
  <si>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</si>
  <si>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</si>
  <si>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</si>
  <si>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</si>
  <si>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</si>
  <si>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</si>
  <si>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</si>
  <si>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</si>
  <si>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</si>
  <si>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</si>
  <si>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</si>
  <si>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</si>
  <si>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</si>
  <si>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</si>
  <si>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</si>
  <si>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</si>
  <si>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</si>
  <si>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</si>
  <si>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</si>
  <si>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</si>
  <si>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</si>
  <si>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</si>
  <si>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</si>
  <si>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</si>
  <si>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</si>
  <si>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</si>
  <si>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</si>
  <si>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</si>
  <si>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</si>
  <si>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</si>
  <si>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</si>
  <si>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</si>
  <si>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</si>
  <si>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</si>
  <si>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</si>
  <si>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</si>
  <si>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</si>
  <si>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</si>
  <si>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</si>
  <si>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</si>
  <si>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</si>
  <si>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</si>
  <si>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</si>
  <si>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</si>
  <si>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</si>
  <si>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</si>
  <si>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</si>
  <si>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</si>
  <si>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</si>
  <si>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</si>
  <si>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</si>
  <si>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</si>
  <si>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</si>
  <si>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</si>
  <si>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</si>
  <si>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</si>
  <si>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</si>
  <si>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</si>
  <si>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</si>
  <si>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</si>
  <si>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</si>
  <si>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</si>
  <si>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</si>
  <si>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</si>
  <si>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</si>
  <si>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</si>
  <si>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</si>
  <si>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</si>
  <si>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</si>
  <si>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</si>
  <si>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</si>
  <si>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</si>
  <si>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</si>
  <si>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</si>
  <si>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</si>
  <si>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</si>
  <si>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</si>
  <si>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</si>
  <si>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</si>
  <si>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</si>
  <si>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</si>
  <si>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</si>
  <si>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</si>
  <si>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</si>
  <si>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</si>
  <si>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</si>
  <si>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</si>
  <si>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</si>
  <si>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</si>
  <si>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</si>
  <si>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</si>
  <si>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</si>
  <si>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</si>
  <si>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</si>
  <si>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</si>
  <si>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</si>
  <si>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</si>
  <si>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</si>
  <si>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</si>
  <si>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</si>
  <si>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</si>
  <si>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</si>
  <si>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</si>
  <si>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</si>
  <si>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</si>
  <si>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</si>
  <si>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</si>
  <si>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</si>
  <si>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</si>
  <si>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</si>
  <si>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</si>
  <si>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</si>
  <si>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</si>
  <si>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</si>
  <si>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</si>
  <si>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</si>
  <si>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</si>
  <si>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</si>
  <si>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</si>
  <si>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</si>
  <si>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</si>
  <si>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</si>
  <si>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</si>
  <si>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</si>
  <si>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</si>
  <si>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</si>
  <si>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</si>
  <si>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</si>
  <si>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</si>
  <si>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</si>
  <si>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</si>
  <si>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</si>
  <si>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</si>
  <si>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</si>
  <si>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</si>
  <si>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</si>
  <si>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</si>
  <si>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</si>
  <si>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</si>
  <si>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</si>
  <si>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</si>
  <si>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</si>
  <si>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</si>
  <si>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</si>
  <si>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</si>
  <si>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</si>
  <si>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</si>
  <si>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</si>
  <si>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</si>
  <si>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</si>
  <si>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</si>
  <si>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</si>
  <si>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</si>
  <si>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</si>
  <si>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</si>
  <si>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</si>
  <si>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</si>
  <si>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</si>
  <si>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</si>
  <si>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</si>
  <si>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</si>
  <si>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</si>
  <si>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</si>
  <si>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</si>
  <si>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</si>
  <si>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</si>
  <si>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</si>
  <si>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</si>
  <si>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</si>
  <si>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</si>
  <si>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</si>
  <si>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</si>
  <si>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</si>
  <si>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</si>
  <si>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</si>
  <si>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</si>
  <si>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</si>
  <si>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</si>
  <si>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</si>
  <si>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</si>
  <si>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</si>
  <si>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</si>
  <si>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</si>
  <si>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</si>
  <si>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</si>
  <si>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</si>
  <si>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</si>
  <si>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</si>
  <si>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</si>
  <si>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</si>
  <si>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</si>
  <si>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</si>
  <si>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</si>
  <si>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</si>
  <si>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</si>
  <si>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</si>
  <si>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</si>
  <si>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</si>
  <si>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</si>
  <si>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</si>
  <si>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</si>
  <si>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</si>
  <si>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</si>
  <si>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</si>
  <si>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</si>
  <si>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</si>
  <si>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</si>
  <si>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</si>
  <si>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</si>
  <si>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</si>
  <si>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</si>
  <si>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</si>
  <si>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</si>
  <si>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</si>
  <si>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</si>
  <si>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</si>
  <si>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</si>
  <si>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</si>
  <si>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</si>
  <si>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</si>
  <si>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</si>
  <si>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</si>
  <si>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</si>
  <si>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</si>
  <si>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</si>
  <si>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</si>
  <si>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</si>
  <si>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</si>
  <si>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</si>
  <si>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</si>
  <si>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</si>
  <si>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</si>
  <si>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</si>
  <si>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</si>
  <si>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</si>
  <si>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</si>
  <si>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</si>
  <si>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</si>
  <si>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</si>
  <si>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</si>
  <si>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</si>
  <si>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</si>
  <si>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</si>
  <si>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</si>
  <si>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</si>
  <si>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</si>
  <si>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</si>
  <si>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</si>
  <si>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</si>
  <si>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</si>
  <si>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</si>
  <si>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</si>
  <si>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</si>
  <si>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</si>
  <si>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</si>
  <si>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</si>
  <si>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</si>
  <si>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</si>
  <si>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</si>
  <si>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</si>
  <si>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</si>
  <si>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</si>
  <si>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</si>
  <si>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</si>
  <si>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</si>
  <si>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</si>
  <si>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</si>
  <si>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</si>
  <si>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</si>
  <si>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</si>
  <si>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</si>
  <si>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</si>
  <si>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</si>
  <si>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</si>
  <si>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</si>
  <si>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</si>
  <si>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</si>
  <si>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</si>
  <si>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</si>
  <si>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</si>
  <si>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</si>
  <si>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</si>
  <si>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</si>
  <si>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</si>
  <si>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</si>
  <si>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</si>
  <si>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</si>
  <si>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</si>
  <si>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</si>
  <si>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</si>
  <si>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</si>
  <si>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</si>
  <si>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</si>
  <si>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</si>
  <si>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</si>
  <si>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</si>
  <si>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</si>
  <si>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</si>
  <si>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</si>
  <si>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</si>
  <si>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</si>
  <si>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</si>
  <si>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</si>
  <si>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</si>
  <si>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</si>
  <si>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</si>
  <si>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</si>
  <si>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</si>
  <si>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</si>
  <si>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</si>
  <si>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</si>
  <si>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</si>
  <si>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</si>
  <si>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</si>
  <si>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</si>
  <si>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</si>
  <si>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</si>
  <si>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</si>
  <si>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</si>
  <si>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</si>
  <si>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</si>
  <si>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</si>
  <si>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</si>
  <si>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</si>
  <si>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</si>
  <si>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</si>
  <si>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</si>
  <si>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</si>
  <si>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</si>
  <si>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</si>
  <si>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</si>
  <si>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</si>
  <si>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</si>
  <si>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</si>
  <si>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</si>
  <si>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</si>
  <si>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</si>
  <si>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</si>
  <si>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</si>
  <si>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</si>
  <si>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</si>
  <si>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</si>
  <si>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</si>
  <si>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</si>
  <si>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</si>
  <si>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</si>
  <si>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</si>
  <si>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</si>
  <si>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</si>
  <si>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</si>
  <si>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</si>
  <si>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</si>
  <si>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</si>
  <si>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</si>
  <si>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</si>
  <si>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</si>
  <si>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</si>
  <si>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</si>
  <si>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</si>
  <si>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</si>
  <si>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</si>
  <si>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</si>
  <si>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</si>
  <si>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</si>
  <si>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</si>
  <si>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</si>
  <si>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</si>
  <si>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</si>
  <si>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</si>
  <si>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</si>
  <si>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</si>
  <si>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</si>
  <si>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</si>
  <si>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</si>
  <si>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</si>
  <si>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</si>
  <si>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</si>
  <si>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</si>
  <si>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</si>
  <si>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</si>
  <si>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</si>
  <si>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</si>
  <si>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</si>
  <si>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</si>
  <si>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</si>
  <si>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</si>
  <si>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</si>
  <si>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</si>
  <si>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</si>
  <si>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</si>
  <si>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</si>
  <si>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</si>
  <si>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</si>
  <si>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</si>
  <si>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</si>
  <si>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</si>
  <si>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</si>
  <si>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</si>
  <si>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</si>
  <si>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</si>
  <si>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</si>
  <si>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</si>
  <si>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</si>
  <si>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</si>
  <si>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</si>
  <si>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</si>
  <si>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</si>
  <si>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</si>
  <si>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</si>
  <si>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</si>
  <si>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</si>
  <si>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</si>
  <si>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</si>
  <si>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</si>
  <si>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</si>
  <si>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</si>
  <si>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</si>
  <si>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</si>
  <si>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</si>
  <si>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</si>
  <si>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</si>
  <si>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</si>
  <si>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</si>
  <si>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</si>
  <si>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</si>
  <si>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</si>
  <si>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</si>
  <si>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</si>
  <si>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</si>
  <si>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</si>
  <si>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</si>
  <si>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</si>
  <si>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</si>
  <si>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</si>
  <si>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</si>
  <si>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</si>
  <si>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</si>
  <si>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</si>
  <si>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</si>
  <si>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</si>
  <si>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</si>
  <si>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</si>
  <si>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</si>
  <si>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</si>
  <si>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</si>
  <si>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</si>
  <si>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</si>
  <si>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</si>
  <si>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</si>
  <si>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</si>
  <si>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</si>
  <si>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</si>
  <si>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</si>
  <si>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</si>
  <si>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</si>
  <si>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</si>
  <si>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</si>
  <si>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</si>
  <si>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</si>
  <si>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</si>
  <si>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</si>
  <si>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</si>
  <si>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</si>
  <si>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</si>
  <si>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</si>
  <si>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</si>
  <si>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</si>
  <si>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</si>
  <si>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</si>
  <si>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</si>
  <si>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</si>
  <si>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</si>
  <si>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</si>
  <si>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</si>
  <si>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</si>
  <si>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</si>
  <si>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</si>
  <si>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</si>
  <si>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</si>
  <si>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</si>
  <si>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</si>
  <si>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</si>
  <si>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</si>
  <si>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</si>
  <si>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</si>
  <si>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</si>
  <si>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</si>
  <si>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</si>
  <si>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</si>
  <si>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</si>
  <si>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</si>
  <si>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</si>
  <si>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</si>
  <si>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</si>
  <si>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</si>
  <si>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</si>
  <si>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</si>
  <si>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</si>
  <si>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</si>
  <si>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</si>
  <si>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</si>
  <si>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</si>
  <si>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</si>
  <si>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</si>
  <si>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</si>
  <si>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</si>
  <si>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</si>
  <si>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</si>
  <si>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</si>
  <si>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</si>
  <si>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</si>
  <si>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</si>
  <si>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</si>
  <si>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</si>
  <si>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</si>
  <si>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</si>
  <si>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</si>
  <si>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</si>
  <si>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</si>
  <si>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</si>
  <si>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</si>
  <si>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</si>
  <si>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</si>
  <si>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</si>
  <si>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</si>
  <si>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</si>
  <si>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</si>
  <si>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</si>
  <si>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</si>
  <si>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</si>
  <si>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</si>
  <si>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</si>
  <si>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</si>
  <si>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</si>
  <si>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</si>
  <si>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</si>
  <si>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</si>
  <si>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</si>
  <si>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</si>
  <si>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</si>
  <si>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</si>
  <si>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</si>
  <si>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</si>
  <si>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</si>
  <si>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</si>
  <si>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</si>
  <si>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</si>
  <si>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</si>
  <si>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</si>
  <si>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</si>
  <si>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</si>
  <si>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</si>
  <si>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</si>
  <si>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</si>
  <si>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</si>
  <si>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</si>
  <si>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</si>
  <si>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</si>
  <si>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</si>
  <si>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</si>
  <si>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</si>
  <si>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</si>
  <si>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</si>
  <si>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</si>
  <si>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</si>
  <si>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</si>
  <si>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</si>
  <si>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</si>
  <si>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</si>
  <si>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</si>
  <si>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</si>
  <si>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</si>
  <si>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</si>
  <si>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</si>
  <si>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</si>
  <si>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</si>
  <si>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</si>
  <si>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</si>
  <si>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</si>
  <si>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</si>
  <si>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</si>
  <si>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</si>
  <si>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</si>
  <si>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</si>
  <si>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</si>
  <si>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</si>
  <si>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</si>
  <si>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</si>
  <si>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</si>
  <si>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</si>
  <si>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</si>
  <si>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</si>
  <si>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</si>
  <si>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</si>
  <si>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</si>
  <si>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</si>
  <si>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</si>
  <si>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</si>
  <si>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</si>
  <si>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</si>
  <si>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</si>
  <si>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</si>
  <si>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</si>
  <si>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</si>
  <si>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</si>
  <si>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</si>
  <si>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</si>
  <si>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</si>
  <si>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</si>
  <si>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</si>
  <si>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</si>
  <si>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</si>
  <si>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</si>
  <si>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</si>
  <si>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</si>
  <si>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</si>
  <si>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</si>
  <si>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</si>
  <si>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</si>
  <si>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</si>
  <si>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</si>
  <si>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</si>
  <si>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</si>
  <si>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</si>
  <si>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</si>
  <si>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</si>
  <si>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</si>
  <si>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</si>
  <si>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</si>
  <si>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</si>
  <si>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</si>
  <si>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</si>
  <si>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</si>
  <si>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</si>
  <si>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</si>
  <si>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</si>
  <si>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</si>
  <si>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</si>
  <si>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</si>
  <si>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</si>
  <si>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</si>
  <si>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</si>
  <si>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</si>
  <si>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</si>
  <si>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</si>
  <si>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</si>
  <si>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</si>
  <si>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</si>
  <si>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</si>
  <si>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</si>
  <si>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</si>
  <si>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</si>
  <si>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</si>
  <si>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</si>
  <si>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</si>
  <si>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</si>
  <si>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</si>
  <si>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</si>
  <si>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</si>
  <si>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</si>
  <si>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</si>
  <si>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</si>
  <si>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</si>
  <si>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</si>
  <si>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</si>
  <si>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</si>
  <si>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</si>
  <si>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</si>
  <si>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</si>
  <si>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</si>
  <si>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</si>
  <si>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</si>
  <si>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</si>
  <si>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</si>
  <si>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</si>
  <si>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</si>
  <si>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</si>
  <si>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</si>
  <si>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</si>
  <si>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</si>
  <si>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</si>
  <si>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</si>
  <si>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</si>
  <si>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</si>
  <si>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</si>
  <si>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</si>
  <si>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</si>
  <si>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</si>
  <si>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</si>
  <si>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</si>
  <si>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</si>
  <si>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</si>
  <si>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</si>
  <si>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</si>
  <si>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</si>
  <si>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</si>
  <si>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</si>
  <si>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</si>
  <si>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</si>
  <si>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</si>
  <si>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</si>
  <si>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</si>
  <si>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</si>
  <si>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</si>
  <si>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</si>
  <si>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</si>
  <si>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</si>
  <si>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</si>
  <si>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</si>
  <si>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</si>
  <si>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</si>
  <si>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</si>
  <si>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</si>
  <si>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</si>
  <si>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</si>
  <si>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</si>
  <si>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</si>
  <si>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</si>
  <si>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</si>
  <si>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</si>
  <si>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</si>
  <si>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</si>
  <si>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</si>
  <si>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</si>
  <si>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</si>
  <si>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</si>
  <si>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</si>
  <si>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</si>
  <si>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</si>
  <si>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</si>
  <si>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</si>
  <si>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</si>
  <si>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</si>
  <si>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</si>
  <si>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</si>
  <si>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</si>
  <si>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</si>
  <si>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</si>
  <si>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</si>
  <si>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</si>
  <si>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</si>
  <si>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</si>
  <si>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</si>
  <si>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</si>
  <si>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</si>
  <si>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</si>
  <si>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</si>
  <si>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</si>
  <si>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</si>
  <si>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</si>
  <si>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</si>
  <si>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</si>
  <si>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</si>
  <si>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</si>
  <si>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</si>
  <si>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</si>
  <si>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</si>
  <si>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</si>
  <si>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</si>
  <si>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</si>
  <si>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</si>
  <si>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</si>
  <si>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</si>
  <si>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</si>
  <si>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</si>
  <si>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</si>
  <si>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</si>
  <si>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</si>
  <si>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</si>
  <si>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</si>
  <si>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</si>
  <si>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</si>
  <si>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</si>
  <si>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</si>
  <si>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</si>
  <si>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</si>
  <si>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</si>
  <si>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</si>
  <si>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</si>
  <si>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</si>
  <si>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</si>
  <si>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</si>
  <si>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</si>
  <si>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</si>
  <si>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</si>
  <si>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</si>
  <si>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</si>
  <si>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</si>
  <si>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</si>
  <si>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</si>
  <si>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</si>
  <si>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</si>
  <si>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</si>
  <si>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</si>
  <si>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</si>
  <si>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</si>
  <si>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</si>
  <si>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</si>
  <si>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</si>
  <si>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</si>
  <si>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</si>
  <si>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</si>
  <si>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</si>
  <si>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</si>
  <si>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</si>
  <si>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</si>
  <si>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</si>
  <si>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</si>
  <si>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</si>
  <si>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</si>
  <si>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</si>
  <si>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</si>
  <si>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</si>
  <si>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</si>
  <si>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</si>
  <si>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</si>
  <si>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</si>
  <si>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</si>
  <si>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</si>
  <si>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</si>
  <si>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</si>
  <si>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</si>
  <si>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</si>
  <si>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</si>
  <si>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</si>
  <si>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</si>
  <si>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</si>
  <si>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</si>
  <si>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</si>
  <si>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</si>
  <si>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</si>
  <si>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</si>
  <si>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</si>
  <si>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</si>
  <si>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</si>
  <si>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</si>
  <si>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</si>
  <si>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</si>
  <si>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</si>
  <si>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</si>
  <si>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</si>
  <si>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</si>
  <si>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</si>
  <si>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</si>
  <si>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</si>
  <si>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</si>
  <si>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</si>
  <si>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</si>
  <si>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</si>
  <si>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</si>
  <si>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</si>
  <si>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</si>
  <si>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</si>
  <si>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</si>
  <si>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</si>
  <si>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</si>
  <si>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</si>
  <si>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</si>
  <si>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</si>
  <si>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</si>
  <si>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</si>
  <si>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</si>
  <si>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</si>
  <si>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</si>
  <si>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</si>
  <si>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</si>
  <si>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</si>
  <si>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</si>
  <si>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</si>
  <si>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</si>
  <si>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</si>
  <si>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</si>
  <si>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</si>
  <si>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</si>
  <si>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</si>
  <si>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</si>
  <si>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</si>
  <si>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</si>
  <si>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</si>
  <si>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</si>
  <si>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</si>
  <si>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</si>
  <si>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</si>
  <si>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</si>
  <si>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</si>
  <si>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</si>
  <si>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</si>
  <si>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</si>
  <si>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</si>
  <si>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</si>
  <si>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</si>
  <si>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</si>
  <si>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</si>
  <si>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</si>
  <si>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</si>
  <si>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</si>
  <si>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</si>
  <si>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</si>
  <si>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</si>
  <si>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</si>
  <si>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</si>
  <si>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</si>
  <si>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</si>
  <si>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</si>
  <si>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</si>
  <si>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</si>
  <si>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</si>
  <si>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</si>
  <si>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</si>
  <si>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</si>
  <si>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</si>
  <si>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</si>
  <si>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</si>
  <si>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</si>
  <si>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</si>
  <si>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</si>
  <si>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</si>
  <si>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</si>
  <si>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</si>
  <si>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</si>
  <si>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</si>
  <si>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</si>
  <si>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</si>
  <si>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</si>
  <si>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</si>
  <si>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</si>
  <si>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</si>
  <si>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</si>
  <si>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</si>
  <si>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</si>
  <si>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</si>
  <si>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</si>
  <si>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</si>
  <si>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</si>
  <si>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</si>
  <si>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</si>
  <si>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</si>
  <si>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</si>
  <si>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</si>
  <si>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</si>
  <si>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</si>
  <si>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</si>
  <si>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</si>
  <si>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</si>
  <si>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</si>
  <si>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</si>
  <si>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</si>
  <si>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</si>
  <si>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</si>
  <si>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</si>
  <si>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</si>
  <si>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</si>
  <si>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</si>
  <si>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</si>
  <si>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</si>
  <si>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</si>
  <si>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</si>
  <si>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</si>
  <si>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</si>
  <si>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</si>
  <si>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</si>
  <si>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</si>
  <si>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</si>
  <si>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</si>
  <si>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</si>
  <si>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</si>
  <si>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</si>
  <si>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</si>
  <si>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</si>
  <si>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</si>
  <si>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</si>
  <si>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</si>
  <si>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</si>
  <si>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</si>
  <si>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</si>
  <si>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</si>
  <si>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</si>
  <si>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</si>
  <si>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</si>
  <si>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</si>
  <si>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</si>
  <si>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</si>
  <si>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</si>
  <si>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</si>
  <si>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</si>
  <si>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</si>
  <si>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</si>
  <si>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</si>
  <si>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</si>
  <si>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</si>
  <si>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</si>
  <si>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</si>
  <si>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</si>
  <si>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</si>
  <si>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</si>
  <si>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</si>
  <si>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</si>
  <si>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</si>
  <si>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</si>
  <si>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</si>
  <si>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</si>
  <si>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</si>
  <si>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</si>
  <si>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</si>
  <si>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</si>
  <si>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</si>
  <si>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</si>
  <si>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</si>
  <si>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</si>
  <si>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</si>
  <si>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</si>
  <si>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</si>
  <si>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</si>
  <si>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</si>
  <si>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</si>
  <si>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</si>
  <si>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</si>
  <si>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</si>
  <si>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</si>
  <si>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</si>
  <si>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</si>
  <si>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</si>
  <si>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</si>
  <si>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</si>
  <si>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</si>
  <si>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</si>
  <si>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</si>
  <si>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</si>
  <si>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</si>
  <si>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</si>
  <si>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</si>
  <si>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</si>
  <si>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</si>
  <si>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</si>
  <si>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</si>
  <si>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</si>
  <si>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</si>
  <si>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</si>
  <si>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</si>
  <si>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</si>
  <si>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</si>
  <si>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</si>
  <si>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</si>
  <si>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</si>
  <si>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</si>
  <si>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</si>
  <si>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</si>
  <si>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</si>
  <si>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</si>
  <si>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</si>
  <si>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</si>
  <si>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</si>
  <si>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</si>
  <si>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</si>
  <si>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</si>
  <si>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</si>
  <si>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</si>
  <si>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</si>
  <si>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</si>
  <si>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</si>
  <si>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</si>
  <si>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</si>
  <si>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</si>
  <si>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</si>
  <si>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</si>
  <si>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</si>
  <si>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</si>
  <si>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</si>
  <si>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</si>
  <si>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</si>
  <si>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</si>
  <si>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</si>
  <si>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</si>
  <si>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</si>
  <si>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</si>
  <si>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</si>
  <si>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</si>
  <si>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</si>
  <si>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</si>
  <si>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</si>
  <si>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</si>
  <si>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</si>
  <si>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</si>
  <si>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</si>
  <si>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</si>
  <si>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</si>
  <si>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</si>
  <si>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</si>
  <si>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</si>
  <si>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</si>
  <si>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</si>
  <si>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</si>
  <si>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</si>
  <si>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</si>
  <si>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</si>
  <si>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</si>
  <si>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</si>
  <si>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</si>
  <si>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</si>
  <si>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</si>
  <si>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</si>
  <si>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</si>
  <si>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</si>
  <si>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</si>
  <si>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</si>
  <si>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</si>
  <si>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</si>
  <si>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</si>
  <si>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</si>
  <si>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</si>
  <si>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</si>
  <si>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</si>
  <si>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</si>
  <si>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</si>
  <si>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</si>
  <si>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</si>
  <si>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</si>
  <si>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</si>
  <si>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</si>
  <si>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</si>
  <si>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</si>
  <si>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</si>
  <si>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</si>
  <si>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</si>
  <si>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</si>
  <si>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</si>
  <si>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</si>
  <si>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</si>
  <si>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</si>
  <si>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</si>
  <si>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</si>
  <si>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</si>
  <si>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</si>
  <si>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</si>
  <si>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</si>
  <si>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</si>
  <si>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</si>
  <si>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</si>
  <si>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</si>
  <si>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</si>
  <si>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</si>
  <si>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</si>
  <si>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</si>
  <si>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</si>
  <si>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</si>
  <si>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</si>
  <si>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</si>
  <si>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</si>
  <si>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</si>
  <si>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</si>
  <si>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</si>
  <si>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</si>
  <si>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</si>
  <si>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</si>
  <si>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</si>
  <si>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</si>
  <si>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</si>
  <si>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</si>
  <si>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</si>
  <si>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</si>
  <si>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</si>
  <si>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</si>
  <si>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</si>
  <si>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</si>
  <si>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</si>
  <si>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</si>
  <si>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</si>
  <si>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</si>
  <si>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</si>
  <si>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</si>
  <si>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</si>
  <si>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</si>
  <si>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</si>
  <si>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</si>
  <si>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</si>
  <si>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</si>
  <si>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</si>
  <si>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</si>
  <si>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</si>
  <si>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</si>
  <si>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</si>
  <si>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</si>
  <si>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</si>
  <si>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</si>
  <si>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</si>
  <si>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</si>
  <si>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</si>
  <si>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</si>
  <si>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</si>
  <si>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</si>
  <si>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</si>
  <si>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</si>
  <si>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</si>
  <si>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</si>
  <si>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</si>
  <si>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</si>
  <si>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</si>
  <si>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</si>
  <si>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</si>
  <si>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</si>
  <si>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</si>
  <si>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</si>
  <si>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</si>
  <si>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</si>
  <si>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</si>
  <si>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</si>
  <si>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</si>
  <si>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</si>
  <si>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</si>
  <si>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</si>
  <si>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</si>
  <si>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</si>
  <si>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</si>
  <si>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</si>
  <si>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</si>
  <si>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</si>
  <si>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</si>
  <si>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</si>
  <si>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</si>
  <si>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</si>
  <si>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</si>
  <si>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</si>
  <si>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</si>
  <si>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</si>
  <si>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</si>
  <si>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</si>
  <si>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</si>
  <si>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</si>
  <si>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</si>
  <si>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</si>
  <si>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</si>
  <si>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</si>
  <si>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</si>
  <si>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</si>
  <si>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</si>
  <si>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</si>
  <si>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</si>
  <si>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</si>
  <si>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</si>
  <si>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</si>
  <si>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</si>
  <si>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</si>
  <si>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</si>
  <si>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</si>
  <si>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</si>
  <si>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</si>
  <si>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</si>
  <si>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</si>
  <si>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</si>
  <si>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</si>
  <si>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</si>
  <si>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</si>
  <si>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</si>
  <si>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</si>
  <si>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</si>
  <si>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</si>
  <si>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</si>
  <si>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</si>
  <si>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</si>
  <si>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</si>
  <si>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</si>
  <si>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</si>
  <si>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</si>
  <si>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</si>
  <si>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</si>
  <si>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</si>
  <si>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</si>
  <si>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</si>
  <si>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</si>
  <si>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</si>
  <si>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</si>
  <si>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</si>
  <si>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</si>
  <si>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</si>
  <si>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</si>
  <si>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</si>
  <si>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</si>
  <si>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</si>
  <si>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</si>
  <si>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</si>
  <si>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</si>
  <si>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</si>
  <si>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</si>
  <si>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</si>
  <si>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</si>
  <si>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</si>
  <si>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</si>
  <si>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</si>
  <si>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</si>
  <si>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</si>
  <si>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</si>
  <si>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</si>
  <si>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</si>
  <si>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</si>
  <si>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</si>
  <si>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</si>
  <si>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</si>
  <si>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</si>
  <si>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</si>
  <si>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</si>
  <si>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</si>
  <si>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</si>
  <si>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</si>
  <si>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</si>
  <si>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</si>
  <si>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</si>
  <si>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</si>
  <si>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</si>
  <si>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</si>
  <si>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</si>
  <si>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</si>
  <si>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</si>
  <si>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</si>
  <si>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</si>
  <si>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</si>
  <si>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</si>
  <si>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</si>
  <si>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</si>
  <si>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</si>
  <si>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</si>
  <si>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</si>
  <si>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</si>
  <si>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</si>
  <si>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</si>
  <si>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</si>
  <si>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</si>
  <si>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</si>
  <si>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</si>
  <si>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</si>
  <si>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</si>
  <si>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</si>
  <si>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</si>
  <si>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</si>
  <si>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</si>
  <si>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</si>
  <si>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</si>
  <si>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</si>
  <si>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</si>
  <si>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</si>
  <si>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</si>
  <si>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</si>
  <si>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</si>
  <si>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</si>
  <si>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</si>
  <si>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</si>
  <si>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</si>
  <si>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</si>
  <si>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</si>
  <si>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</si>
  <si>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</si>
  <si>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</si>
  <si>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</si>
  <si>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</si>
  <si>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</si>
  <si>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</si>
  <si>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</si>
  <si>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</si>
  <si>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</si>
  <si>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</si>
  <si>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</si>
  <si>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</si>
  <si>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</si>
  <si>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</si>
  <si>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</si>
  <si>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</si>
  <si>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</si>
  <si>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</si>
  <si>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</si>
  <si>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</si>
  <si>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</si>
  <si>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</si>
  <si>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</si>
  <si>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</si>
  <si>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</si>
  <si>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</si>
  <si>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</si>
  <si>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</si>
  <si>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</si>
  <si>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</si>
  <si>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</si>
  <si>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</si>
  <si>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</si>
  <si>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</si>
  <si>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</si>
  <si>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</si>
  <si>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</si>
  <si>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</si>
  <si>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</si>
  <si>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</si>
  <si>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</si>
  <si>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</si>
  <si>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</si>
  <si>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</si>
  <si>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</si>
  <si>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</si>
  <si>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</si>
  <si>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</si>
  <si>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</si>
  <si>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</si>
  <si>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</si>
  <si>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</si>
  <si>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</si>
  <si>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</si>
  <si>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</si>
  <si>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</si>
  <si>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</si>
  <si>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</si>
  <si>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</si>
  <si>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</si>
  <si>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</si>
  <si>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</si>
  <si>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</si>
  <si>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</si>
  <si>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</si>
  <si>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</si>
  <si>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</si>
  <si>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</si>
  <si>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</si>
  <si>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</si>
  <si>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</si>
  <si>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</si>
  <si>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</si>
  <si>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</si>
  <si>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</si>
  <si>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</si>
  <si>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</si>
  <si>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</si>
  <si>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</si>
  <si>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</si>
  <si>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</si>
  <si>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</si>
  <si>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</si>
  <si>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</si>
  <si>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</si>
  <si>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</si>
  <si>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</si>
  <si>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</si>
  <si>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</si>
  <si>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</si>
  <si>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</si>
  <si>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</si>
  <si>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</si>
  <si>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</si>
  <si>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</si>
  <si>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</si>
  <si>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</si>
  <si>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</si>
  <si>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</si>
  <si>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</si>
  <si>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</si>
  <si>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</si>
  <si>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</si>
  <si>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</si>
  <si>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</si>
  <si>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</si>
  <si>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</si>
  <si>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</si>
  <si>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</si>
  <si>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</si>
  <si>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</si>
  <si>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</si>
  <si>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</si>
  <si>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</si>
  <si>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</si>
  <si>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</si>
  <si>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</si>
  <si>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</si>
  <si>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</si>
  <si>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</si>
  <si>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</si>
  <si>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</si>
  <si>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</si>
  <si>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</si>
  <si>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</si>
  <si>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</si>
  <si>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</si>
  <si>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</si>
  <si>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</si>
  <si>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</si>
  <si>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</si>
  <si>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</si>
  <si>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</si>
  <si>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</si>
  <si>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</si>
  <si>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</si>
  <si>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</si>
  <si>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</si>
  <si>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</si>
  <si>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</si>
  <si>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</si>
  <si>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</si>
  <si>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</si>
  <si>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</si>
  <si>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</si>
  <si>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</si>
  <si>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</si>
  <si>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</si>
  <si>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</si>
  <si>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</si>
  <si>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</si>
  <si>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</si>
  <si>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</si>
  <si>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</si>
  <si>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</si>
  <si>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</si>
  <si>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</si>
  <si>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</si>
  <si>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</si>
  <si>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</si>
  <si>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</si>
  <si>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</si>
  <si>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</si>
  <si>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</si>
  <si>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</si>
  <si>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</si>
  <si>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</si>
  <si>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</si>
  <si>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</si>
  <si>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</si>
  <si>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</si>
  <si>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</si>
  <si>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</si>
  <si>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</si>
  <si>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</si>
  <si>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</si>
  <si>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</si>
  <si>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</si>
  <si>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</si>
  <si>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</si>
  <si>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</si>
  <si>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</si>
  <si>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</si>
  <si>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</si>
  <si>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</si>
  <si>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</si>
  <si>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</si>
  <si>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</si>
  <si>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</si>
  <si>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</si>
  <si>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</si>
  <si>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</si>
  <si>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</si>
  <si>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</si>
  <si>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</si>
  <si>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</si>
  <si>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</si>
  <si>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</si>
  <si>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</si>
  <si>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</si>
  <si>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</si>
  <si>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</si>
  <si>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</si>
  <si>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</si>
  <si>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</si>
  <si>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</si>
  <si>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</si>
  <si>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</si>
  <si>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</si>
  <si>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</si>
  <si>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</si>
  <si>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</si>
  <si>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</si>
  <si>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</si>
  <si>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</si>
  <si>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</si>
  <si>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</si>
  <si>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</si>
  <si>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</si>
  <si>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</si>
  <si>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</si>
  <si>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</si>
  <si>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</si>
  <si>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</si>
  <si>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</si>
  <si>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</si>
  <si>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</si>
  <si>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</si>
  <si>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</si>
  <si>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</si>
  <si>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</si>
  <si>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</si>
  <si>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</si>
  <si>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</si>
  <si>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</si>
  <si>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</si>
  <si>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</si>
  <si>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</si>
  <si>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</si>
  <si>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</si>
  <si>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</si>
  <si>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</si>
  <si>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</si>
  <si>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</si>
  <si>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</si>
  <si>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</si>
  <si>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</si>
  <si>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</si>
  <si>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</si>
  <si>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</si>
  <si>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</si>
  <si>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</si>
  <si>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</si>
  <si>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</si>
  <si>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</si>
  <si>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</si>
  <si>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</si>
  <si>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</si>
  <si>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</si>
  <si>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</si>
  <si>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</si>
  <si>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</si>
  <si>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</si>
  <si>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</si>
  <si>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</si>
  <si>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</si>
  <si>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</si>
  <si>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</si>
  <si>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</si>
  <si>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</si>
  <si>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</si>
  <si>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</si>
  <si>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</si>
  <si>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</si>
  <si>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</si>
  <si>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</si>
  <si>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</si>
  <si>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</si>
  <si>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</si>
  <si>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</si>
  <si>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</si>
  <si>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</si>
  <si>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</si>
  <si>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</si>
  <si>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</si>
  <si>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</si>
  <si>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</si>
  <si>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</si>
  <si>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</si>
  <si>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</si>
  <si>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</si>
  <si>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</si>
  <si>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</si>
  <si>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</si>
  <si>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</si>
  <si>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</si>
  <si>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</si>
  <si>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</si>
  <si>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</si>
  <si>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</si>
  <si>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</si>
  <si>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</si>
  <si>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</si>
  <si>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</si>
  <si>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</si>
  <si>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</si>
  <si>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</si>
  <si>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</si>
  <si>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</si>
  <si>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</si>
  <si>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</si>
  <si>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</si>
  <si>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</si>
  <si>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</si>
  <si>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</si>
  <si>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</si>
  <si>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</si>
  <si>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</si>
  <si>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</si>
  <si>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</si>
  <si>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</si>
  <si>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</si>
  <si>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</si>
  <si>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</si>
  <si>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</si>
  <si>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</si>
  <si>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</si>
  <si>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</si>
  <si>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</si>
  <si>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</si>
  <si>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</si>
  <si>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</si>
  <si>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</si>
  <si>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</si>
  <si>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</si>
  <si>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</si>
  <si>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</si>
  <si>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</si>
  <si>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</si>
  <si>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</si>
  <si>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</si>
  <si>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</si>
  <si>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</si>
  <si>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</si>
  <si>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</si>
  <si>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</si>
  <si>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</si>
  <si>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</si>
  <si>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</si>
  <si>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</si>
  <si>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</si>
  <si>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</si>
  <si>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</si>
  <si>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</si>
  <si>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</si>
  <si>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</si>
  <si>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</si>
  <si>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</si>
  <si>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</si>
  <si>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</si>
  <si>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</si>
  <si>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</si>
  <si>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</si>
  <si>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</si>
  <si>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</si>
  <si>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</si>
  <si>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</si>
  <si>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</si>
  <si>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</si>
  <si>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</si>
  <si>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</si>
  <si>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</si>
  <si>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</si>
  <si>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</si>
  <si>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</si>
  <si>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</si>
  <si>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</si>
  <si>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</si>
  <si>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</si>
  <si>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</si>
  <si>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</si>
  <si>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</si>
  <si>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</si>
  <si>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</si>
  <si>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</si>
  <si>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</si>
  <si>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</si>
  <si>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</si>
  <si>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</si>
  <si>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</si>
  <si>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</si>
  <si>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</si>
  <si>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</si>
  <si>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</si>
  <si>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</si>
  <si>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</si>
  <si>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</si>
  <si>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</si>
  <si>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</si>
  <si>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</si>
  <si>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</si>
  <si>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</si>
  <si>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</si>
  <si>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</si>
  <si>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</si>
  <si>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</si>
  <si>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</si>
  <si>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</si>
  <si>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</si>
  <si>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</si>
  <si>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</si>
  <si>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</si>
  <si>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</si>
  <si>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</si>
  <si>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</si>
  <si>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</si>
  <si>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</si>
  <si>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</si>
  <si>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</si>
  <si>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</si>
  <si>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</si>
  <si>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</si>
  <si>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</si>
  <si>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</si>
  <si>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</si>
  <si>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</si>
  <si>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</si>
  <si>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</si>
  <si>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</si>
  <si>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</si>
  <si>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</si>
  <si>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</si>
  <si>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</si>
  <si>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</si>
  <si>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</si>
  <si>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</si>
  <si>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</si>
  <si>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</si>
  <si>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</si>
  <si>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</si>
  <si>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</si>
  <si>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</si>
  <si>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</si>
  <si>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</si>
  <si>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</si>
  <si>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</si>
  <si>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</si>
  <si>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</si>
  <si>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</si>
  <si>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</si>
  <si>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</si>
  <si>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</si>
  <si>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</si>
  <si>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</si>
  <si>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</si>
  <si>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</si>
  <si>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</si>
  <si>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</si>
  <si>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</si>
  <si>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</si>
  <si>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</si>
  <si>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</si>
  <si>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</si>
  <si>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</si>
  <si>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</si>
  <si>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</si>
  <si>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</si>
  <si>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</si>
  <si>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</si>
  <si>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</si>
  <si>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</si>
  <si>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</si>
  <si>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</si>
  <si>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</si>
  <si>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</si>
  <si>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</si>
  <si>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</si>
  <si>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</si>
  <si>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</si>
  <si>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</si>
  <si>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</si>
  <si>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</si>
  <si>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</si>
  <si>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</si>
  <si>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</si>
  <si>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</si>
  <si>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</si>
  <si>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</si>
  <si>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</si>
  <si>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</si>
  <si>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</si>
  <si>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</si>
  <si>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</si>
  <si>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</si>
  <si>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</si>
  <si>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</si>
  <si>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</si>
  <si>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</si>
  <si>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</si>
  <si>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</si>
  <si>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</si>
  <si>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</si>
  <si>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</si>
  <si>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</si>
  <si>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</si>
  <si>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</si>
  <si>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</si>
  <si>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</si>
  <si>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</si>
  <si>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</si>
  <si>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</si>
  <si>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</si>
  <si>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</si>
  <si>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</si>
  <si>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</si>
  <si>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</si>
  <si>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</si>
  <si>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</si>
  <si>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</si>
  <si>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</si>
  <si>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</si>
  <si>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</si>
  <si>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</si>
  <si>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</si>
  <si>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</si>
  <si>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</si>
  <si>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</si>
  <si>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</si>
  <si>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</si>
  <si>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</si>
  <si>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</si>
  <si>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</si>
  <si>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</si>
  <si>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</si>
  <si>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</si>
  <si>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</si>
  <si>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</si>
  <si>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</si>
  <si>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</si>
  <si>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</si>
  <si>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</si>
  <si>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</si>
  <si>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</si>
  <si>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</si>
  <si>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</si>
  <si>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</si>
  <si>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</si>
  <si>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</si>
  <si>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</si>
  <si>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</si>
  <si>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</si>
  <si>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</si>
  <si>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</si>
  <si>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</si>
  <si>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</si>
  <si>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</si>
  <si>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</si>
  <si>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</si>
  <si>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</si>
  <si>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</si>
  <si>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</si>
  <si>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</si>
  <si>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</si>
  <si>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</si>
  <si>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</si>
  <si>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</si>
  <si>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</si>
  <si>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</si>
  <si>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</si>
  <si>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</si>
  <si>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</si>
  <si>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</si>
  <si>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</si>
  <si>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</si>
  <si>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</si>
  <si>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</si>
  <si>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</si>
  <si>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</si>
  <si>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</si>
  <si>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</si>
  <si>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</si>
  <si>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</si>
  <si>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</si>
  <si>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</si>
  <si>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</si>
  <si>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</si>
  <si>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</si>
  <si>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</si>
  <si>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</si>
  <si>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</si>
  <si>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</si>
  <si>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</si>
  <si>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</si>
  <si>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</si>
  <si>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</si>
  <si>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</si>
  <si>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</si>
  <si>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</si>
  <si>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</si>
  <si>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</si>
  <si>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</si>
  <si>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</si>
  <si>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</si>
  <si>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</si>
  <si>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</si>
  <si>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</si>
  <si>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</si>
  <si>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</si>
  <si>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</si>
  <si>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</si>
  <si>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</si>
  <si>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</si>
  <si>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</si>
  <si>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</si>
  <si>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</si>
  <si>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</si>
  <si>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</si>
  <si>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</si>
  <si>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</si>
  <si>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</si>
  <si>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</si>
  <si>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</si>
  <si>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</si>
  <si>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</si>
  <si>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</si>
  <si>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</si>
  <si>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</si>
  <si>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</si>
  <si>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</si>
  <si>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</si>
  <si>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</si>
  <si>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</si>
  <si>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</si>
  <si>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</si>
  <si>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</si>
  <si>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</si>
  <si>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</si>
  <si>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</si>
  <si>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</si>
  <si>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</si>
  <si>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</si>
  <si>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</si>
  <si>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</si>
  <si>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</si>
  <si>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</si>
  <si>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</si>
  <si>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</si>
  <si>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</si>
  <si>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</si>
  <si>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</si>
  <si>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</si>
  <si>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</si>
  <si>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</si>
  <si>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</si>
  <si>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</si>
  <si>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</si>
  <si>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</si>
  <si>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</si>
  <si>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</si>
  <si>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</si>
  <si>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</si>
  <si>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</si>
  <si>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</si>
  <si>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</si>
  <si>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</si>
  <si>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</si>
  <si>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</si>
  <si>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</si>
  <si>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</si>
  <si>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</si>
  <si>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</si>
  <si>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</si>
  <si>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</si>
  <si>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</si>
  <si>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</si>
  <si>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</si>
  <si>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</si>
  <si>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</si>
  <si>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</si>
  <si>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</si>
  <si>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</si>
  <si>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</si>
  <si>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</si>
  <si>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</si>
  <si>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</si>
  <si>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</si>
  <si>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</si>
  <si>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</si>
  <si>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</si>
  <si>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</si>
  <si>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</si>
  <si>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</si>
  <si>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</si>
  <si>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</si>
  <si>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</si>
  <si>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</si>
  <si>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</si>
  <si>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</si>
  <si>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</si>
  <si>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</si>
  <si>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</si>
  <si>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</si>
  <si>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</si>
  <si>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</si>
  <si>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</si>
  <si>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</si>
  <si>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</si>
  <si>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</si>
  <si>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</si>
  <si>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</si>
  <si>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</si>
  <si>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</si>
  <si>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</si>
  <si>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</si>
  <si>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</si>
  <si>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</si>
  <si>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</si>
  <si>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</si>
  <si>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</si>
  <si>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</si>
  <si>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</si>
  <si>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</si>
  <si>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</si>
  <si>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</si>
  <si>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</si>
  <si>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</si>
  <si>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</si>
  <si>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</si>
  <si>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</si>
  <si>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</si>
  <si>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</si>
  <si>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</si>
  <si>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</si>
  <si>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</si>
  <si>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</si>
  <si>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</si>
  <si>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</si>
  <si>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</si>
  <si>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</si>
  <si>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</si>
  <si>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</si>
  <si>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</si>
  <si>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</si>
  <si>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</si>
  <si>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</si>
  <si>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</si>
  <si>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</si>
  <si>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</si>
  <si>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</si>
  <si>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</si>
  <si>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</si>
  <si>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</si>
  <si>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</si>
  <si>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</si>
  <si>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</si>
  <si>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</si>
  <si>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</si>
  <si>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</si>
  <si>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</si>
  <si>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</si>
  <si>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</si>
  <si>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</si>
  <si>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</si>
  <si>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</si>
  <si>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</si>
  <si>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</si>
  <si>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</si>
  <si>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</si>
  <si>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</si>
  <si>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</si>
  <si>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</si>
  <si>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</si>
  <si>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</si>
  <si>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</si>
  <si>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</si>
  <si>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</si>
  <si>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</si>
  <si>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</si>
  <si>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</si>
  <si>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</si>
  <si>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</si>
  <si>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</si>
  <si>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</si>
  <si>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</si>
  <si>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</si>
  <si>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</si>
  <si>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</si>
  <si>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</si>
  <si>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</si>
  <si>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</si>
  <si>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</si>
  <si>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</si>
  <si>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</si>
  <si>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</si>
  <si>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</si>
  <si>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</si>
  <si>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</si>
  <si>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</si>
  <si>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</si>
  <si>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</si>
  <si>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</si>
  <si>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</si>
  <si>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</si>
  <si>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</si>
  <si>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</si>
  <si>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</si>
  <si>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</si>
  <si>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</si>
  <si>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</si>
  <si>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</si>
  <si>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</si>
  <si>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</si>
  <si>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</si>
  <si>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</si>
  <si>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</si>
  <si>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</si>
  <si>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</si>
  <si>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</si>
  <si>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</si>
  <si>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</si>
  <si>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</si>
  <si>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</si>
  <si>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</si>
  <si>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</si>
  <si>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</si>
  <si>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</si>
  <si>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</si>
  <si>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</si>
  <si>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</si>
  <si>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</si>
  <si>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</si>
  <si>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</si>
  <si>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</si>
  <si>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</si>
  <si>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</si>
  <si>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</si>
  <si>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</si>
  <si>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</si>
  <si>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</si>
  <si>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</si>
  <si>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</si>
  <si>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</si>
  <si>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</si>
  <si>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</si>
  <si>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</si>
  <si>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</si>
  <si>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</si>
  <si>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</si>
  <si>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</si>
  <si>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</si>
  <si>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</si>
  <si>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</si>
  <si>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</si>
  <si>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</si>
  <si>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</si>
  <si>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</si>
  <si>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</si>
  <si>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</si>
  <si>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</si>
  <si>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</si>
  <si>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</si>
  <si>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</si>
  <si>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</si>
  <si>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</si>
  <si>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</si>
  <si>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</si>
  <si>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</si>
  <si>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</si>
  <si>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</si>
  <si>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</si>
  <si>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</si>
  <si>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</si>
  <si>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</si>
  <si>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</si>
  <si>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</si>
  <si>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</si>
  <si>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</si>
  <si>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</si>
  <si>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</si>
  <si>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</si>
  <si>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</si>
  <si>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</si>
  <si>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</si>
  <si>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</si>
  <si>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</si>
  <si>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</si>
  <si>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</si>
  <si>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</si>
  <si>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</si>
  <si>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</si>
  <si>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</si>
  <si>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</si>
  <si>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</si>
  <si>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</si>
  <si>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</si>
  <si>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</si>
  <si>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</si>
  <si>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</si>
  <si>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</si>
  <si>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</si>
  <si>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</si>
  <si>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</si>
  <si>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</si>
  <si>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</si>
  <si>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</si>
  <si>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</si>
  <si>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</si>
  <si>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</si>
  <si>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</si>
  <si>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</si>
  <si>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</si>
  <si>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</si>
  <si>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</si>
  <si>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</si>
  <si>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</si>
  <si>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</si>
  <si>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</si>
  <si>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</si>
  <si>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</si>
  <si>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</si>
  <si>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</si>
  <si>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</si>
  <si>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</si>
  <si>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</si>
  <si>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</si>
  <si>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</si>
  <si>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</si>
  <si>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</si>
  <si>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</si>
  <si>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</si>
  <si>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</si>
  <si>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</si>
  <si>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</si>
  <si>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</si>
  <si>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</si>
  <si>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</si>
  <si>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</si>
  <si>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</si>
  <si>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</si>
  <si>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</si>
  <si>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</si>
  <si>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</si>
  <si>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</si>
  <si>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</si>
  <si>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</si>
  <si>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</si>
  <si>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</si>
  <si>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</si>
  <si>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</si>
  <si>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</si>
  <si>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</si>
  <si>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</si>
  <si>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</si>
  <si>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</si>
  <si>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</si>
  <si>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</si>
  <si>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</si>
  <si>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</si>
  <si>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</si>
  <si>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</si>
  <si>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</si>
  <si>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</si>
  <si>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</si>
  <si>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</si>
  <si>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</si>
  <si>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</si>
  <si>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</si>
  <si>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</si>
  <si>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</si>
  <si>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</si>
  <si>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</si>
  <si>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</si>
  <si>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</si>
  <si>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</si>
  <si>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</si>
  <si>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</si>
  <si>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</si>
  <si>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</si>
  <si>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</si>
  <si>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</si>
  <si>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</si>
  <si>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</si>
  <si>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</si>
  <si>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</si>
  <si>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</si>
  <si>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</si>
  <si>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</si>
  <si>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</si>
  <si>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</si>
  <si>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</si>
  <si>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</si>
  <si>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</si>
  <si>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</si>
  <si>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</si>
  <si>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</si>
  <si>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</si>
  <si>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</si>
  <si>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</si>
  <si>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</si>
  <si>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</si>
  <si>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</si>
  <si>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</si>
  <si>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</si>
  <si>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</si>
  <si>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</si>
  <si>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</si>
  <si>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</si>
  <si>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</si>
  <si>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</si>
  <si>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</si>
  <si>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</si>
  <si>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</si>
  <si>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</si>
  <si>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</si>
  <si>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</si>
  <si>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</si>
  <si>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</si>
  <si>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</si>
  <si>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</si>
  <si>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</si>
  <si>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</si>
  <si>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</si>
  <si>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</si>
  <si>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</si>
  <si>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</si>
  <si>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</si>
  <si>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</si>
  <si>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</si>
  <si>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</si>
  <si>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</si>
  <si>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</si>
  <si>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</si>
  <si>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</si>
  <si>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</si>
  <si>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</si>
  <si>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</si>
  <si>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</si>
  <si>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</si>
  <si>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</si>
  <si>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</si>
  <si>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</si>
  <si>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</si>
  <si>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</si>
  <si>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</si>
  <si>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</si>
  <si>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</si>
  <si>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</si>
  <si>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</si>
  <si>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</si>
  <si>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</si>
  <si>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</si>
  <si>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</si>
  <si>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</si>
  <si>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</si>
  <si>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</si>
  <si>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</si>
  <si>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</si>
  <si>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</si>
  <si>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</si>
  <si>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</si>
  <si>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</si>
  <si>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</si>
  <si>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</si>
  <si>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</si>
  <si>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</si>
  <si>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</si>
  <si>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</si>
  <si>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</si>
  <si>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</si>
  <si>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</si>
  <si>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</si>
  <si>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</si>
  <si>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</si>
  <si>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</si>
  <si>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</si>
  <si>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</si>
  <si>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</si>
  <si>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</si>
  <si>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</si>
  <si>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</si>
  <si>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</si>
  <si>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</si>
  <si>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</si>
  <si>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</si>
  <si>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</si>
  <si>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</si>
  <si>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</si>
  <si>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</si>
  <si>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</si>
  <si>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</si>
  <si>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</si>
  <si>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</si>
  <si>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</si>
  <si>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</si>
  <si>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</si>
  <si>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</si>
  <si>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</si>
  <si>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</si>
  <si>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</si>
  <si>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</si>
  <si>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</si>
  <si>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</si>
  <si>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</si>
  <si>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</si>
  <si>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</si>
  <si>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</si>
  <si>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</si>
  <si>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</si>
  <si>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</si>
  <si>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</si>
  <si>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</si>
  <si>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</si>
  <si>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</si>
  <si>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</si>
  <si>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</si>
  <si>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</si>
  <si>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</si>
  <si>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</si>
  <si>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</si>
  <si>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</si>
  <si>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</si>
  <si>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</si>
  <si>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</si>
  <si>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</si>
  <si>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</si>
  <si>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</si>
  <si>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</si>
  <si>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</si>
  <si>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</si>
  <si>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</si>
  <si>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</si>
  <si>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</si>
  <si>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</si>
  <si>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</si>
  <si>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</si>
  <si>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</si>
  <si>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</si>
  <si>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</si>
  <si>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</si>
  <si>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</si>
  <si>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</si>
  <si>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</si>
  <si>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</si>
  <si>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</si>
  <si>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</si>
  <si>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</si>
  <si>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</si>
  <si>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</si>
  <si>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</si>
  <si>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</si>
  <si>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</si>
  <si>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</si>
  <si>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</si>
  <si>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</si>
  <si>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</si>
  <si>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</si>
  <si>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</si>
  <si>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</si>
  <si>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</si>
  <si>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</si>
  <si>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</si>
  <si>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</si>
  <si>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</si>
  <si>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</si>
  <si>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</si>
  <si>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</si>
  <si>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</si>
  <si>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</si>
  <si>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</si>
  <si>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</si>
  <si>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</si>
  <si>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</si>
  <si>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</si>
  <si>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</si>
  <si>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</si>
  <si>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</si>
  <si>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</si>
  <si>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</si>
  <si>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</si>
  <si>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</si>
  <si>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</si>
  <si>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</si>
  <si>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</si>
  <si>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</si>
  <si>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</si>
  <si>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</si>
  <si>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</si>
  <si>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</si>
  <si>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</si>
  <si>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</si>
  <si>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</si>
  <si>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</si>
  <si>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</si>
  <si>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</si>
  <si>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</si>
  <si>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</si>
  <si>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</si>
  <si>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</si>
  <si>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</si>
  <si>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</si>
  <si>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</si>
  <si>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</si>
  <si>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</si>
  <si>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</si>
  <si>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</si>
  <si>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</si>
  <si>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</si>
  <si>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</si>
  <si>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</si>
  <si>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</si>
  <si>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</si>
  <si>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</si>
  <si>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</si>
  <si>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</si>
  <si>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</si>
  <si>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</si>
  <si>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</si>
  <si>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</si>
  <si>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</si>
  <si>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</si>
  <si>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</si>
  <si>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</si>
  <si>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</si>
  <si>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</si>
  <si>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</si>
  <si>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</si>
  <si>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</si>
  <si>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</si>
  <si>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</si>
  <si>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</si>
  <si>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</si>
  <si>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</si>
  <si>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</si>
  <si>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</si>
  <si>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</si>
  <si>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</si>
  <si>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</si>
  <si>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</si>
  <si>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</si>
  <si>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</si>
  <si>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</si>
  <si>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</si>
  <si>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</si>
  <si>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</si>
  <si>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</si>
  <si>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</si>
  <si>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</si>
  <si>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</si>
  <si>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</si>
  <si>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</si>
  <si>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</si>
  <si>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</si>
  <si>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</si>
  <si>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</si>
  <si>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</si>
  <si>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</si>
  <si>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</si>
  <si>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</si>
  <si>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</si>
  <si>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</si>
  <si>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</si>
  <si>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</si>
  <si>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</si>
  <si>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</si>
  <si>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</si>
  <si>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</si>
  <si>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</si>
  <si>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</si>
  <si>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</si>
  <si>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</si>
  <si>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</si>
  <si>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</si>
  <si>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</si>
  <si>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</si>
  <si>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</si>
  <si>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</si>
  <si>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</si>
  <si>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</si>
  <si>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</si>
  <si>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</si>
  <si>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</si>
  <si>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</si>
  <si>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</si>
  <si>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</si>
  <si>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</si>
  <si>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</si>
  <si>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</si>
  <si>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</si>
  <si>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</si>
  <si>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</si>
  <si>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</si>
  <si>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</si>
  <si>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</si>
  <si>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</si>
  <si>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</si>
  <si>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</si>
  <si>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</si>
  <si>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</si>
  <si>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</si>
  <si>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</si>
  <si>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</si>
  <si>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</si>
  <si>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</si>
  <si>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</si>
  <si>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</si>
  <si>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</si>
  <si>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</si>
  <si>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</si>
  <si>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</si>
  <si>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</si>
  <si>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</si>
  <si>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</si>
  <si>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</si>
  <si>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</si>
  <si>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</si>
  <si>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</si>
  <si>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</si>
  <si>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</si>
  <si>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</si>
  <si>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</si>
  <si>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</si>
  <si>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</si>
  <si>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</si>
  <si>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</si>
  <si>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</si>
  <si>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</si>
  <si>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</si>
  <si>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</si>
  <si>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</si>
  <si>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</si>
  <si>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</si>
  <si>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</si>
  <si>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</si>
  <si>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</si>
  <si>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</si>
  <si>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</si>
  <si>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</si>
  <si>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</si>
  <si>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</si>
  <si>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</si>
  <si>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</si>
  <si>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</si>
  <si>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</si>
  <si>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</si>
  <si>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</si>
  <si>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</si>
  <si>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</si>
  <si>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</si>
  <si>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</si>
  <si>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</si>
  <si>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</si>
  <si>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</si>
  <si>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</si>
  <si>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</si>
  <si>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</si>
  <si>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</si>
  <si>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</si>
  <si>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</si>
  <si>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</si>
  <si>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</si>
  <si>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</si>
  <si>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</si>
  <si>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</si>
  <si>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</si>
  <si>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</si>
  <si>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</si>
  <si>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</si>
  <si>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</si>
  <si>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</si>
  <si>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</si>
  <si>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</si>
  <si>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</si>
  <si>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</si>
  <si>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</si>
  <si>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</si>
  <si>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</si>
  <si>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</si>
  <si>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</si>
  <si>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</si>
  <si>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</si>
  <si>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</si>
  <si>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</si>
  <si>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</si>
  <si>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</si>
  <si>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</si>
  <si>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</si>
  <si>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</si>
  <si>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</si>
  <si>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</si>
  <si>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</si>
  <si>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</si>
  <si>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</si>
  <si>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</si>
  <si>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</si>
  <si>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</si>
  <si>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</si>
  <si>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</si>
  <si>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</si>
  <si>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</si>
  <si>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</si>
  <si>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</si>
  <si>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</si>
  <si>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</si>
  <si>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</si>
  <si>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</si>
  <si>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</si>
  <si>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</si>
  <si>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</si>
  <si>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</si>
  <si>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</si>
  <si>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</si>
  <si>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</si>
  <si>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</si>
  <si>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</si>
  <si>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</si>
  <si>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</si>
  <si>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</si>
  <si>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</si>
  <si>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</si>
  <si>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</si>
  <si>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</si>
  <si>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</si>
  <si>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</si>
  <si>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</si>
  <si>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</si>
  <si>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</si>
  <si>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</si>
  <si>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</si>
  <si>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</si>
  <si>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</si>
  <si>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</si>
  <si>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</si>
  <si>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</si>
  <si>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</si>
  <si>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</si>
  <si>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</si>
  <si>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</si>
  <si>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</si>
  <si>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</si>
  <si>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</si>
  <si>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</si>
  <si>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</si>
  <si>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</si>
  <si>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</si>
  <si>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</si>
  <si>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</si>
  <si>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</si>
  <si>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</si>
  <si>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</si>
  <si>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</si>
  <si>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</si>
  <si>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</si>
  <si>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</si>
  <si>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</si>
  <si>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</si>
  <si>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</si>
  <si>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</si>
  <si>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</si>
  <si>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</si>
  <si>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</si>
  <si>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</si>
  <si>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</si>
  <si>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</si>
  <si>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</si>
  <si>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</si>
  <si>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</si>
  <si>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</si>
  <si>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</si>
  <si>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</si>
  <si>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</si>
  <si>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</si>
  <si>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</si>
  <si>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</si>
  <si>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</si>
  <si>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</si>
  <si>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</si>
  <si>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</si>
  <si>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</si>
  <si>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</si>
  <si>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</si>
  <si>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</si>
  <si>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</si>
  <si>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</si>
  <si>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</si>
  <si>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</si>
  <si>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</si>
  <si>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</si>
  <si>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</si>
  <si>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</si>
  <si>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</si>
  <si>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</si>
  <si>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</si>
  <si>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</si>
  <si>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</si>
  <si>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</si>
  <si>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</si>
  <si>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</si>
  <si>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</si>
  <si>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</si>
  <si>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</si>
  <si>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</si>
  <si>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</si>
  <si>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</si>
  <si>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</si>
  <si>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</si>
  <si>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</si>
  <si>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</si>
  <si>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</si>
  <si>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</si>
  <si>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</si>
  <si>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</si>
  <si>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</si>
  <si>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</si>
  <si>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</si>
  <si>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</si>
  <si>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</si>
  <si>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</si>
  <si>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</si>
  <si>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</si>
  <si>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</si>
  <si>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</si>
  <si>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</si>
  <si>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</si>
  <si>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</si>
  <si>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</si>
  <si>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</si>
  <si>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</si>
  <si>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</si>
  <si>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</si>
  <si>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</si>
  <si>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</si>
  <si>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</si>
  <si>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</si>
  <si>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</si>
  <si>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</si>
  <si>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</si>
  <si>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</si>
  <si>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</si>
  <si>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</si>
  <si>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</si>
  <si>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</si>
  <si>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</si>
  <si>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</si>
  <si>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</si>
  <si>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</si>
  <si>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</si>
  <si>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</si>
  <si>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</si>
  <si>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</si>
  <si>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</si>
  <si>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</si>
  <si>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</si>
  <si>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</si>
  <si>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</si>
  <si>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</si>
  <si>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</si>
  <si>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</si>
  <si>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</si>
  <si>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</si>
  <si>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</si>
  <si>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</si>
  <si>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</si>
  <si>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</si>
  <si>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</si>
  <si>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</si>
  <si>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</si>
  <si>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</si>
  <si>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</si>
  <si>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</si>
  <si>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</si>
  <si>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</si>
  <si>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</si>
  <si>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</si>
  <si>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</si>
  <si>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</si>
  <si>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</si>
  <si>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</si>
  <si>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</si>
  <si>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</si>
  <si>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</si>
  <si>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</si>
  <si>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</si>
  <si>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</si>
  <si>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</si>
  <si>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</si>
  <si>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</si>
  <si>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</si>
  <si>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</si>
  <si>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</si>
  <si>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</si>
  <si>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</si>
  <si>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</si>
  <si>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</si>
  <si>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</si>
  <si>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</si>
  <si>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</si>
  <si>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</si>
  <si>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</si>
  <si>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</si>
  <si>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</si>
  <si>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</si>
  <si>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</si>
  <si>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</si>
  <si>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</si>
  <si>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</si>
  <si>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</si>
  <si>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</si>
  <si>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</si>
  <si>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</si>
  <si>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</si>
  <si>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</si>
  <si>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</si>
  <si>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</si>
  <si>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</si>
  <si>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</si>
  <si>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</si>
  <si>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</si>
  <si>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</si>
  <si>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</si>
  <si>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</si>
  <si>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</si>
  <si>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</si>
  <si>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</si>
  <si>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</si>
  <si>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</si>
  <si>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</si>
  <si>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</si>
  <si>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</si>
  <si>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</si>
  <si>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</si>
  <si>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</si>
  <si>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</si>
  <si>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</si>
  <si>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</si>
  <si>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</si>
  <si>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</si>
  <si>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</si>
  <si>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</si>
  <si>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</si>
  <si>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</si>
  <si>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</si>
  <si>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</si>
  <si>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</si>
  <si>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</si>
  <si>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</si>
  <si>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</si>
  <si>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</si>
  <si>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</si>
  <si>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</si>
  <si>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</si>
  <si>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</si>
  <si>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</si>
  <si>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</si>
  <si>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</si>
  <si>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</si>
  <si>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</si>
  <si>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</si>
  <si>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</si>
  <si>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</si>
  <si>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</si>
  <si>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</si>
  <si>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</si>
  <si>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</si>
  <si>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</si>
  <si>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</si>
  <si>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</si>
  <si>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</si>
  <si>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</si>
  <si>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</si>
  <si>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</si>
  <si>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</si>
  <si>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</si>
  <si>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</si>
  <si>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</si>
  <si>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</si>
  <si>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</si>
  <si>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</si>
  <si>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</si>
  <si>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</si>
  <si>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</si>
  <si>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</si>
  <si>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</si>
  <si>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</si>
  <si>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</si>
  <si>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</si>
  <si>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</si>
  <si>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</si>
  <si>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</si>
  <si>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</si>
  <si>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</si>
  <si>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</si>
  <si>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</si>
  <si>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</si>
  <si>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</si>
  <si>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</si>
  <si>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</si>
  <si>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</si>
  <si>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</si>
  <si>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</si>
  <si>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</si>
  <si>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</si>
  <si>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</si>
  <si>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</si>
  <si>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</si>
  <si>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</si>
  <si>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</si>
  <si>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</si>
  <si>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</si>
  <si>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</si>
  <si>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</si>
  <si>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</si>
  <si>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</si>
  <si>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</si>
  <si>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</si>
  <si>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</si>
  <si>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</si>
  <si>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</si>
  <si>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</si>
  <si>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</si>
  <si>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</si>
  <si>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</si>
  <si>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</si>
  <si>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</si>
  <si>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</si>
  <si>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</si>
  <si>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</si>
  <si>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</si>
  <si>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</si>
  <si>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</si>
  <si>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</si>
  <si>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</si>
  <si>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</si>
  <si>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</si>
  <si>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</si>
  <si>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</si>
  <si>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</si>
  <si>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</si>
  <si>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</si>
  <si>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</si>
  <si>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</si>
  <si>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</si>
  <si>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</si>
  <si>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</si>
  <si>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</si>
  <si>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</si>
  <si>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</si>
  <si>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</si>
  <si>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</si>
  <si>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</si>
  <si>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</si>
  <si>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</si>
  <si>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</si>
  <si>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</si>
  <si>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</si>
  <si>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</si>
  <si>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</si>
  <si>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</si>
  <si>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</si>
  <si>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</si>
  <si>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</si>
  <si>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</si>
  <si>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</si>
  <si>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</si>
  <si>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</si>
  <si>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</si>
  <si>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</si>
  <si>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</si>
  <si>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</si>
  <si>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</si>
  <si>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</si>
  <si>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</si>
  <si>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</si>
  <si>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</si>
  <si>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</si>
  <si>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</si>
  <si>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</si>
  <si>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</si>
  <si>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</si>
  <si>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</si>
  <si>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</si>
  <si>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</si>
  <si>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</si>
  <si>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</si>
  <si>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</si>
  <si>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</si>
  <si>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</si>
  <si>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</si>
  <si>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</si>
  <si>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</si>
  <si>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</si>
  <si>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</si>
  <si>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</si>
  <si>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</si>
  <si>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</si>
  <si>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</si>
  <si>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</si>
  <si>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</si>
  <si>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</si>
  <si>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</si>
  <si>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</si>
  <si>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</si>
  <si>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</si>
  <si>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</si>
  <si>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</si>
  <si>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</si>
  <si>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</si>
  <si>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</si>
  <si>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</si>
  <si>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</si>
  <si>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</si>
  <si>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</si>
  <si>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</si>
  <si>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</si>
  <si>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</si>
  <si>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</si>
  <si>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</si>
  <si>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</si>
  <si>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</si>
  <si>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</si>
  <si>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</si>
  <si>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</si>
  <si>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</si>
  <si>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</si>
  <si>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</si>
  <si>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</si>
  <si>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</si>
  <si>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</si>
  <si>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</si>
  <si>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</si>
  <si>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</si>
  <si>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</si>
  <si>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</si>
  <si>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</si>
  <si>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</si>
  <si>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</si>
  <si>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</si>
  <si>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</si>
  <si>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</si>
  <si>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</si>
  <si>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</si>
  <si>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</si>
  <si>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</si>
  <si>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</si>
  <si>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</si>
  <si>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</si>
  <si>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</si>
  <si>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</si>
  <si>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</si>
  <si>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</si>
  <si>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</si>
  <si>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</si>
  <si>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</si>
  <si>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</si>
  <si>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</si>
  <si>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</si>
  <si>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</si>
  <si>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</si>
  <si>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</si>
  <si>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</si>
  <si>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</si>
  <si>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</si>
  <si>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</si>
  <si>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</si>
  <si>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</si>
  <si>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</si>
  <si>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</si>
  <si>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</si>
  <si>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</si>
  <si>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</si>
  <si>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</si>
  <si>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</si>
  <si>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</si>
  <si>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</si>
  <si>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</si>
  <si>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</si>
  <si>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</si>
  <si>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</si>
  <si>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</si>
  <si>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</si>
  <si>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</si>
  <si>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</si>
  <si>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</si>
  <si>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</si>
  <si>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</si>
  <si>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</si>
  <si>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</si>
  <si>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</si>
  <si>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</si>
  <si>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</si>
  <si>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</si>
  <si>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</si>
  <si>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</si>
  <si>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</si>
  <si>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</si>
  <si>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</si>
  <si>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</si>
  <si>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</si>
  <si>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</si>
  <si>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</si>
  <si>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</si>
  <si>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</si>
  <si>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</si>
  <si>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Xiamen Zettler Electronics Co.,Ltd.</t>
    <phoneticPr fontId="4" type="noConversion"/>
  </si>
  <si>
    <t>LCM MODULE</t>
    <phoneticPr fontId="4" type="noConversion"/>
  </si>
  <si>
    <t>76174644-8</t>
    <phoneticPr fontId="4" type="noConversion"/>
  </si>
  <si>
    <t>76174644-8</t>
    <phoneticPr fontId="4" type="noConversion"/>
  </si>
  <si>
    <t>No.6, Xinjing Road, Xinyang Industrial Zone, Haicang District, Xiamen, China</t>
    <phoneticPr fontId="4" type="noConversion"/>
  </si>
  <si>
    <t>qunyu</t>
    <phoneticPr fontId="4" type="noConversion"/>
  </si>
  <si>
    <t xml:space="preserve">dcc@zettlercn.com </t>
    <phoneticPr fontId="4" type="noConversion"/>
  </si>
  <si>
    <t>0086-592-2631729</t>
    <phoneticPr fontId="4" type="noConversion"/>
  </si>
  <si>
    <t>zhengzz@zettlercn.com</t>
    <phoneticPr fontId="4" type="noConversion"/>
  </si>
  <si>
    <t>+86 592 2631596</t>
    <phoneticPr fontId="4" type="noConversion"/>
  </si>
  <si>
    <t>http://www.zettlercn.com/</t>
    <phoneticPr fontId="4" type="noConversion"/>
  </si>
  <si>
    <t>CID000211</t>
    <phoneticPr fontId="28"/>
  </si>
  <si>
    <t>CID002180</t>
    <phoneticPr fontId="28"/>
  </si>
  <si>
    <t>CID000801</t>
    <phoneticPr fontId="28"/>
  </si>
  <si>
    <t>zongzong Zheng</t>
    <phoneticPr fontId="4" type="noConversion"/>
  </si>
  <si>
    <t>Quality manager</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</si>
</sst>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宋体"/>
      <family val="3"/>
      <charset val="128"/>
      <scheme val="minor"/>
    </font>
    <font>
      <sz val="11"/>
      <color theme="0"/>
      <name val="宋体"/>
      <family val="3"/>
      <charset val="128"/>
      <scheme val="minor"/>
    </font>
    <font>
      <sz val="11"/>
      <color rgb="FF9C0006"/>
      <name val="ＭＳ Ｐゴシック"/>
      <family val="3"/>
      <charset val="128"/>
    </font>
    <font>
      <sz val="11"/>
      <color rgb="FF9C0006"/>
      <name val="宋体"/>
      <family val="3"/>
      <charset val="128"/>
      <scheme val="minor"/>
    </font>
    <font>
      <b/>
      <sz val="11"/>
      <color rgb="FFFA7D00"/>
      <name val="宋体"/>
      <family val="3"/>
      <charset val="128"/>
      <scheme val="minor"/>
    </font>
    <font>
      <b/>
      <sz val="11"/>
      <color theme="0"/>
      <name val="宋体"/>
      <family val="3"/>
      <charset val="128"/>
      <scheme val="minor"/>
    </font>
    <font>
      <i/>
      <sz val="11"/>
      <color rgb="FF7F7F7F"/>
      <name val="宋体"/>
      <family val="3"/>
      <charset val="128"/>
      <scheme val="minor"/>
    </font>
    <font>
      <sz val="11"/>
      <color rgb="FF006100"/>
      <name val="宋体"/>
      <family val="3"/>
      <charset val="128"/>
      <scheme val="minor"/>
    </font>
    <font>
      <b/>
      <sz val="15"/>
      <color theme="3"/>
      <name val="宋体"/>
      <family val="3"/>
      <charset val="128"/>
      <scheme val="minor"/>
    </font>
    <font>
      <b/>
      <sz val="13"/>
      <color theme="3"/>
      <name val="宋体"/>
      <family val="3"/>
      <charset val="128"/>
      <scheme val="minor"/>
    </font>
    <font>
      <b/>
      <sz val="11"/>
      <color theme="3"/>
      <name val="宋体"/>
      <family val="3"/>
      <charset val="128"/>
      <scheme val="minor"/>
    </font>
    <font>
      <u/>
      <sz val="10"/>
      <color theme="10"/>
      <name val="Arial"/>
      <family val="2"/>
    </font>
    <font>
      <u/>
      <sz val="11"/>
      <color theme="10"/>
      <name val="宋体"/>
      <family val="3"/>
      <charset val="128"/>
      <scheme val="minor"/>
    </font>
    <font>
      <u/>
      <sz val="12"/>
      <color theme="10"/>
      <name val="宋体"/>
      <family val="3"/>
      <charset val="128"/>
      <scheme val="minor"/>
    </font>
    <font>
      <sz val="11"/>
      <color rgb="FF3F3F76"/>
      <name val="宋体"/>
      <family val="3"/>
      <charset val="128"/>
      <scheme val="minor"/>
    </font>
    <font>
      <sz val="11"/>
      <color rgb="FFFA7D00"/>
      <name val="宋体"/>
      <family val="3"/>
      <charset val="128"/>
      <scheme val="minor"/>
    </font>
    <font>
      <sz val="11"/>
      <color rgb="FF9C6500"/>
      <name val="宋体"/>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宋体"/>
      <family val="3"/>
      <charset val="128"/>
      <scheme val="minor"/>
    </font>
    <font>
      <b/>
      <sz val="11"/>
      <color rgb="FF3F3F3F"/>
      <name val="宋体"/>
      <family val="3"/>
      <charset val="128"/>
      <scheme val="minor"/>
    </font>
    <font>
      <sz val="18"/>
      <color theme="3"/>
      <name val="宋体"/>
      <family val="3"/>
      <charset val="128"/>
      <scheme val="major"/>
    </font>
    <font>
      <b/>
      <sz val="11"/>
      <color theme="1"/>
      <name val="宋体"/>
      <family val="3"/>
      <charset val="128"/>
      <scheme val="minor"/>
    </font>
    <font>
      <sz val="11"/>
      <color rgb="FFFF0000"/>
      <name val="宋体"/>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宋体"/>
      <family val="3"/>
      <charset val="128"/>
      <scheme val="minor"/>
    </font>
    <font>
      <sz val="10"/>
      <color rgb="FFFF0000"/>
      <name val="Verdana"/>
      <family val="2"/>
    </font>
    <font>
      <sz val="10"/>
      <name val="宋体"/>
      <family val="3"/>
      <charset val="128"/>
      <scheme val="major"/>
    </font>
    <font>
      <u/>
      <sz val="12"/>
      <color indexed="12"/>
      <name val="宋体"/>
      <family val="3"/>
      <charset val="128"/>
      <scheme val="major"/>
    </font>
    <font>
      <sz val="12"/>
      <name val="宋体"/>
      <family val="3"/>
      <charset val="128"/>
      <scheme val="major"/>
    </font>
    <font>
      <sz val="12"/>
      <name val="宋体"/>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80" fontId="80" fillId="0" borderId="0" applyNumberFormat="0" applyFill="0" applyBorder="0" applyAlignment="0" applyProtection="0"/>
    <xf numFmtId="0" fontId="81" fillId="0" borderId="0" applyNumberFormat="0" applyFill="0" applyBorder="0" applyAlignment="0" applyProtection="0"/>
    <xf numFmtId="180" fontId="80" fillId="0" borderId="0" applyNumberFormat="0" applyFill="0" applyBorder="0" applyAlignment="0" applyProtection="0">
      <alignment vertical="top"/>
      <protection locked="0"/>
    </xf>
    <xf numFmtId="180"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80"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80" fontId="86" fillId="0" borderId="0"/>
    <xf numFmtId="0" fontId="6" fillId="0" borderId="0"/>
    <xf numFmtId="0" fontId="6" fillId="0" borderId="0"/>
    <xf numFmtId="180"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80" fontId="86" fillId="0" borderId="0"/>
    <xf numFmtId="0" fontId="5" fillId="0" borderId="0"/>
    <xf numFmtId="180" fontId="6" fillId="0" borderId="0"/>
    <xf numFmtId="0" fontId="69" fillId="0" borderId="0"/>
    <xf numFmtId="0" fontId="69" fillId="0" borderId="0"/>
    <xf numFmtId="180" fontId="5" fillId="0" borderId="0"/>
    <xf numFmtId="0" fontId="69" fillId="0" borderId="0"/>
    <xf numFmtId="0" fontId="5" fillId="0" borderId="0"/>
    <xf numFmtId="0" fontId="69" fillId="0" borderId="0"/>
    <xf numFmtId="0" fontId="87" fillId="0" borderId="0">
      <alignment vertical="center"/>
    </xf>
    <xf numFmtId="180"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80" fontId="86" fillId="0" borderId="0"/>
    <xf numFmtId="180"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80" fontId="10" fillId="0" borderId="0"/>
    <xf numFmtId="0" fontId="6" fillId="0" borderId="0"/>
    <xf numFmtId="0" fontId="6" fillId="0" borderId="0"/>
    <xf numFmtId="0" fontId="6" fillId="0" borderId="0"/>
    <xf numFmtId="180" fontId="6" fillId="0" borderId="0"/>
  </cellStyleXfs>
  <cellXfs count="44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80"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81"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82"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80"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80" fontId="0" fillId="2" borderId="4" xfId="0" applyNumberFormat="1" applyFont="1" applyFill="1" applyBorder="1" applyAlignment="1">
      <alignment vertical="top" wrapText="1"/>
    </xf>
    <xf numFmtId="180" fontId="0" fillId="2" borderId="0" xfId="0" applyNumberFormat="1" applyFont="1" applyFill="1" applyBorder="1" applyAlignment="1"/>
    <xf numFmtId="180" fontId="9" fillId="2" borderId="0" xfId="0" applyNumberFormat="1" applyFont="1" applyFill="1" applyBorder="1"/>
    <xf numFmtId="180" fontId="14" fillId="2" borderId="0" xfId="0" applyNumberFormat="1" applyFont="1" applyFill="1" applyBorder="1" applyAlignment="1">
      <alignment horizontal="center" vertical="center" wrapText="1"/>
    </xf>
    <xf numFmtId="180" fontId="11" fillId="2" borderId="0" xfId="0" applyNumberFormat="1" applyFont="1" applyFill="1" applyBorder="1" applyAlignment="1">
      <alignment horizontal="center" vertical="center"/>
    </xf>
    <xf numFmtId="180" fontId="0" fillId="2" borderId="0" xfId="0" applyNumberFormat="1" applyFont="1" applyFill="1" applyBorder="1"/>
    <xf numFmtId="180" fontId="27" fillId="2" borderId="11" xfId="570" applyNumberFormat="1" applyFont="1" applyFill="1" applyBorder="1" applyAlignment="1">
      <alignment horizontal="center" vertical="center" wrapText="1"/>
    </xf>
    <xf numFmtId="180" fontId="0" fillId="0" borderId="0" xfId="0" applyNumberFormat="1" applyFont="1" applyFill="1" applyBorder="1"/>
    <xf numFmtId="180"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82"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7" fillId="0" borderId="0" xfId="0" applyFont="1" applyAlignment="1">
      <alignment vertical="center" wrapText="1"/>
    </xf>
    <xf numFmtId="180" fontId="96" fillId="0" borderId="0" xfId="480" applyFont="1" applyFill="1" applyAlignment="1">
      <alignment horizontal="left" vertical="center" wrapText="1"/>
    </xf>
    <xf numFmtId="0" fontId="0" fillId="0" borderId="0" xfId="0" applyFill="1" applyAlignment="1">
      <alignment vertical="center"/>
    </xf>
    <xf numFmtId="0" fontId="108"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9" fillId="0" borderId="0" xfId="0" applyFont="1" applyAlignment="1">
      <alignment vertical="center" wrapText="1"/>
    </xf>
    <xf numFmtId="180" fontId="97" fillId="0" borderId="0" xfId="480" applyFont="1" applyFill="1" applyAlignment="1">
      <alignment vertical="center" wrapText="1"/>
    </xf>
    <xf numFmtId="0" fontId="96" fillId="0" borderId="0" xfId="0" applyFont="1" applyFill="1" applyAlignment="1">
      <alignment vertical="center" wrapText="1"/>
    </xf>
    <xf numFmtId="0" fontId="110"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1"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2"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80" fontId="96" fillId="0" borderId="0" xfId="480" applyFont="1" applyFill="1" applyAlignment="1">
      <alignment vertical="center" wrapText="1"/>
    </xf>
    <xf numFmtId="0" fontId="55" fillId="0" borderId="0" xfId="0" applyFont="1" applyFill="1" applyAlignment="1">
      <alignment horizontal="left" vertical="center" wrapText="1"/>
    </xf>
    <xf numFmtId="0" fontId="114"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80"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0" fillId="0" borderId="0" xfId="0" applyNumberFormat="1" applyFont="1" applyAlignment="1">
      <alignment horizontal="left" vertical="center" wrapText="1"/>
    </xf>
    <xf numFmtId="9" fontId="118"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1"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8"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9"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8" fillId="0" borderId="0" xfId="502" applyFont="1" applyFill="1" applyAlignment="1">
      <alignment horizontal="left" vertical="center" wrapText="1"/>
    </xf>
    <xf numFmtId="180"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80" fontId="96" fillId="0" borderId="0" xfId="480" applyFont="1" applyFill="1" applyBorder="1" applyAlignment="1">
      <alignment vertical="center" wrapText="1"/>
    </xf>
    <xf numFmtId="0" fontId="104"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80"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2" fillId="0" borderId="0" xfId="527" applyFont="1" applyFill="1" applyAlignment="1">
      <alignment horizontal="left" vertical="center" wrapText="1"/>
    </xf>
    <xf numFmtId="180" fontId="6" fillId="0" borderId="0" xfId="480" applyAlignment="1">
      <alignment vertical="center"/>
    </xf>
    <xf numFmtId="0" fontId="123" fillId="0" borderId="0" xfId="0" applyFont="1" applyAlignment="1">
      <alignment vertical="center" wrapText="1"/>
    </xf>
    <xf numFmtId="0" fontId="55" fillId="0" borderId="0" xfId="0" applyFont="1" applyAlignment="1">
      <alignment vertical="center"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80" fontId="25" fillId="0" borderId="42" xfId="570" applyNumberFormat="1" applyFont="1" applyFill="1" applyBorder="1" applyAlignment="1">
      <alignment horizontal="center" vertical="top" wrapText="1"/>
    </xf>
    <xf numFmtId="180" fontId="25" fillId="0" borderId="43" xfId="570" applyNumberFormat="1" applyFont="1" applyFill="1" applyBorder="1" applyAlignment="1">
      <alignment horizontal="center" vertical="top" wrapText="1"/>
    </xf>
    <xf numFmtId="180"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80" fontId="25" fillId="2" borderId="42" xfId="570" applyNumberFormat="1" applyFont="1" applyFill="1" applyBorder="1" applyAlignment="1">
      <alignment horizontal="center" vertical="top" wrapText="1"/>
    </xf>
    <xf numFmtId="180" fontId="25" fillId="2" borderId="43" xfId="570" applyNumberFormat="1" applyFont="1" applyFill="1" applyBorder="1" applyAlignment="1">
      <alignment horizontal="center" vertical="top" wrapText="1"/>
    </xf>
    <xf numFmtId="180"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1" fillId="0" borderId="25" xfId="487" applyFont="1" applyFill="1" applyBorder="1" applyAlignment="1" applyProtection="1">
      <alignment horizontal="left" vertical="center" wrapText="1"/>
    </xf>
    <xf numFmtId="0" fontId="101" fillId="0" borderId="18" xfId="487" applyFont="1" applyFill="1" applyBorder="1" applyAlignment="1" applyProtection="1">
      <alignment horizontal="left" vertical="center" wrapText="1"/>
    </xf>
    <xf numFmtId="0" fontId="101"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xf>
    <xf numFmtId="49" fontId="102" fillId="2" borderId="1" xfId="487" applyNumberFormat="1" applyFont="1" applyFill="1" applyBorder="1" applyAlignment="1" applyProtection="1">
      <alignment horizontal="left" vertical="center" wrapText="1"/>
      <protection locked="0"/>
    </xf>
    <xf numFmtId="49" fontId="102"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3" fillId="2" borderId="1" xfId="0" applyNumberFormat="1" applyFont="1" applyFill="1" applyBorder="1" applyAlignment="1" applyProtection="1">
      <alignment horizontal="left" vertical="center" wrapText="1"/>
      <protection locked="0"/>
    </xf>
    <xf numFmtId="49" fontId="103" fillId="2" borderId="28" xfId="0" applyNumberFormat="1" applyFont="1" applyFill="1" applyBorder="1" applyAlignment="1" applyProtection="1">
      <alignment horizontal="left" vertical="center" wrapText="1"/>
      <protection locked="0"/>
    </xf>
    <xf numFmtId="181" fontId="14" fillId="2" borderId="25" xfId="0" applyNumberFormat="1" applyFont="1" applyFill="1" applyBorder="1" applyAlignment="1" applyProtection="1">
      <alignment horizontal="center" wrapText="1"/>
      <protection locked="0"/>
    </xf>
    <xf numFmtId="181"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7" fillId="2" borderId="52" xfId="487" applyNumberFormat="1" applyFill="1" applyBorder="1" applyAlignment="1" applyProtection="1">
      <alignment horizontal="left" vertical="center" wrapText="1"/>
      <protection locked="0"/>
    </xf>
    <xf numFmtId="0" fontId="7" fillId="2" borderId="52" xfId="487" applyFill="1" applyBorder="1" applyAlignment="1" applyProtection="1">
      <alignment horizontal="left" vertical="center" wrapText="1"/>
      <protection locked="0"/>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標準 2" xfId="589"/>
    <cellStyle name="標準 2 2" xfId="590"/>
    <cellStyle name="標準 2 3" xfId="591"/>
    <cellStyle name="常规" xfId="0" builtinId="0"/>
    <cellStyle name="超链接" xfId="487" builtinId="8"/>
    <cellStyle name="一般 7" xfId="588"/>
    <cellStyle name="표준 2" xfId="587"/>
  </cellStyles>
  <dxfs count="8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dcc@zettlerc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zettlercn.com/" TargetMode="External"/><Relationship Id="rId4" Type="http://schemas.openxmlformats.org/officeDocument/2006/relationships/hyperlink" Target="mailto:zhengzz@zettlercn.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56"/>
      <c r="B2" s="38" t="s">
        <v>963</v>
      </c>
      <c r="C2" s="36"/>
      <c r="D2" s="207"/>
      <c r="E2" s="3"/>
      <c r="F2" s="36"/>
      <c r="G2" s="34"/>
    </row>
    <row r="3" spans="1:7">
      <c r="A3" s="356"/>
      <c r="B3" s="5" t="s">
        <v>952</v>
      </c>
      <c r="C3" s="6"/>
      <c r="D3" s="208"/>
      <c r="E3" s="3"/>
      <c r="F3" s="6"/>
      <c r="G3" s="34"/>
    </row>
    <row r="4" spans="1:7" ht="15.75">
      <c r="A4" s="356"/>
      <c r="B4" s="41" t="s">
        <v>965</v>
      </c>
      <c r="C4" s="7"/>
      <c r="D4" s="209"/>
      <c r="E4" s="3"/>
      <c r="F4" s="7"/>
      <c r="G4" s="34"/>
    </row>
    <row r="5" spans="1:7">
      <c r="A5" s="356"/>
      <c r="B5" s="40" t="s">
        <v>1157</v>
      </c>
      <c r="C5" s="4"/>
      <c r="D5" s="210"/>
      <c r="E5" s="3"/>
      <c r="F5" s="4"/>
      <c r="G5" s="34"/>
    </row>
    <row r="6" spans="1:7">
      <c r="A6" s="356"/>
      <c r="B6" s="8"/>
      <c r="C6" s="8"/>
      <c r="D6" s="211"/>
      <c r="E6" s="8"/>
      <c r="F6" s="8"/>
      <c r="G6" s="34"/>
    </row>
    <row r="7" spans="1:7">
      <c r="A7" s="356"/>
      <c r="B7" s="8"/>
      <c r="C7" s="8"/>
      <c r="D7" s="211"/>
      <c r="E7" s="8"/>
      <c r="F7" s="8"/>
      <c r="G7" s="34"/>
    </row>
    <row r="8" spans="1:7">
      <c r="A8" s="356"/>
      <c r="B8" s="8"/>
      <c r="C8" s="8"/>
      <c r="D8" s="211"/>
      <c r="E8" s="8"/>
      <c r="F8" s="8"/>
      <c r="G8" s="34"/>
    </row>
    <row r="9" spans="1:7">
      <c r="A9" s="356"/>
      <c r="B9" s="359" t="s">
        <v>966</v>
      </c>
      <c r="C9" s="359"/>
      <c r="D9" s="359"/>
      <c r="E9" s="359"/>
      <c r="F9" s="359"/>
      <c r="G9" s="34"/>
    </row>
    <row r="10" spans="1:7" ht="27" customHeight="1">
      <c r="A10" s="356"/>
      <c r="B10" s="360" t="s">
        <v>506</v>
      </c>
      <c r="C10" s="360"/>
      <c r="D10" s="360"/>
      <c r="E10" s="360"/>
      <c r="F10" s="360"/>
      <c r="G10" s="34"/>
    </row>
    <row r="11" spans="1:7" ht="27" customHeight="1">
      <c r="A11" s="356"/>
      <c r="B11" s="361"/>
      <c r="C11" s="361"/>
      <c r="D11" s="361"/>
      <c r="E11" s="361"/>
      <c r="F11" s="361"/>
      <c r="G11" s="34"/>
    </row>
    <row r="12" spans="1:7">
      <c r="A12" s="356"/>
      <c r="B12" s="42" t="s">
        <v>964</v>
      </c>
      <c r="C12" s="43" t="s">
        <v>967</v>
      </c>
      <c r="D12" s="212" t="s">
        <v>968</v>
      </c>
      <c r="E12" s="43" t="s">
        <v>701</v>
      </c>
      <c r="F12" s="43" t="s">
        <v>702</v>
      </c>
      <c r="G12" s="34"/>
    </row>
    <row r="13" spans="1:7" ht="33.75">
      <c r="A13" s="356"/>
      <c r="B13" s="2">
        <v>1</v>
      </c>
      <c r="C13" s="37" t="s">
        <v>1208</v>
      </c>
      <c r="D13" s="39" t="s">
        <v>992</v>
      </c>
      <c r="E13" s="196" t="s">
        <v>969</v>
      </c>
      <c r="F13" s="196"/>
      <c r="G13" s="34"/>
    </row>
    <row r="14" spans="1:7" ht="33.75">
      <c r="A14" s="356"/>
      <c r="B14" s="2">
        <v>2</v>
      </c>
      <c r="C14" s="37" t="s">
        <v>1208</v>
      </c>
      <c r="D14" s="39" t="s">
        <v>1142</v>
      </c>
      <c r="E14" s="196" t="s">
        <v>602</v>
      </c>
      <c r="F14" s="196" t="s">
        <v>603</v>
      </c>
      <c r="G14" s="34"/>
    </row>
    <row r="15" spans="1:7" ht="89.1" customHeight="1">
      <c r="A15" s="356"/>
      <c r="B15" s="362">
        <v>2.0099999999999998</v>
      </c>
      <c r="C15" s="353" t="s">
        <v>1208</v>
      </c>
      <c r="D15" s="365" t="s">
        <v>2686</v>
      </c>
      <c r="E15" s="197" t="s">
        <v>703</v>
      </c>
      <c r="F15" s="197" t="s">
        <v>706</v>
      </c>
      <c r="G15" s="34"/>
    </row>
    <row r="16" spans="1:7" ht="99" customHeight="1">
      <c r="A16" s="356"/>
      <c r="B16" s="363"/>
      <c r="C16" s="354"/>
      <c r="D16" s="366"/>
      <c r="E16" s="198"/>
      <c r="F16" s="198" t="s">
        <v>704</v>
      </c>
      <c r="G16" s="34"/>
    </row>
    <row r="17" spans="1:7" ht="63" customHeight="1">
      <c r="A17" s="356"/>
      <c r="B17" s="364"/>
      <c r="C17" s="355"/>
      <c r="D17" s="367"/>
      <c r="E17" s="37"/>
      <c r="F17" s="37" t="s">
        <v>705</v>
      </c>
      <c r="G17" s="34"/>
    </row>
    <row r="18" spans="1:7" ht="117" customHeight="1">
      <c r="A18" s="356"/>
      <c r="B18" s="362">
        <v>2.02</v>
      </c>
      <c r="C18" s="353" t="s">
        <v>1208</v>
      </c>
      <c r="D18" s="365" t="s">
        <v>2687</v>
      </c>
      <c r="E18" s="197" t="s">
        <v>507</v>
      </c>
      <c r="F18" s="197" t="s">
        <v>596</v>
      </c>
      <c r="G18" s="34"/>
    </row>
    <row r="19" spans="1:7" ht="71.099999999999994" customHeight="1">
      <c r="A19" s="356"/>
      <c r="B19" s="363"/>
      <c r="C19" s="354"/>
      <c r="D19" s="366"/>
      <c r="E19" s="198" t="s">
        <v>601</v>
      </c>
      <c r="F19" s="198" t="s">
        <v>508</v>
      </c>
      <c r="G19" s="34"/>
    </row>
    <row r="20" spans="1:7" ht="90.75" customHeight="1">
      <c r="A20" s="356"/>
      <c r="B20" s="363"/>
      <c r="C20" s="354"/>
      <c r="D20" s="366"/>
      <c r="E20" s="198"/>
      <c r="F20" s="198" t="s">
        <v>708</v>
      </c>
      <c r="G20" s="34"/>
    </row>
    <row r="21" spans="1:7" ht="74.25" customHeight="1">
      <c r="A21" s="356"/>
      <c r="B21" s="364"/>
      <c r="C21" s="355"/>
      <c r="D21" s="367"/>
      <c r="E21" s="37"/>
      <c r="F21" s="37" t="s">
        <v>707</v>
      </c>
      <c r="G21" s="34"/>
    </row>
    <row r="22" spans="1:7" ht="90" customHeight="1">
      <c r="A22" s="356"/>
      <c r="B22" s="347">
        <v>2.0299999999999998</v>
      </c>
      <c r="C22" s="347" t="s">
        <v>935</v>
      </c>
      <c r="D22" s="350" t="s">
        <v>2688</v>
      </c>
      <c r="E22" s="353" t="s">
        <v>505</v>
      </c>
      <c r="F22" s="197" t="s">
        <v>529</v>
      </c>
      <c r="G22" s="34"/>
    </row>
    <row r="23" spans="1:7" ht="109.5" customHeight="1">
      <c r="A23" s="356"/>
      <c r="B23" s="348"/>
      <c r="C23" s="348"/>
      <c r="D23" s="351"/>
      <c r="E23" s="354"/>
      <c r="F23" s="198" t="s">
        <v>936</v>
      </c>
      <c r="G23" s="34"/>
    </row>
    <row r="24" spans="1:7" ht="74.25" customHeight="1">
      <c r="A24" s="356"/>
      <c r="B24" s="349"/>
      <c r="C24" s="349"/>
      <c r="D24" s="352"/>
      <c r="E24" s="355"/>
      <c r="F24" s="37" t="s">
        <v>504</v>
      </c>
      <c r="G24" s="34"/>
    </row>
    <row r="25" spans="1:7" ht="72" customHeight="1">
      <c r="A25" s="356"/>
      <c r="B25" s="2" t="s">
        <v>527</v>
      </c>
      <c r="C25" s="37" t="s">
        <v>528</v>
      </c>
      <c r="D25" s="39" t="s">
        <v>2689</v>
      </c>
      <c r="E25" s="37" t="s">
        <v>2682</v>
      </c>
      <c r="F25" s="37" t="s">
        <v>530</v>
      </c>
      <c r="G25" s="34"/>
    </row>
    <row r="26" spans="1:7" ht="98.1" customHeight="1">
      <c r="A26" s="356"/>
      <c r="B26" s="368">
        <v>3</v>
      </c>
      <c r="C26" s="362" t="s">
        <v>74</v>
      </c>
      <c r="D26" s="365" t="s">
        <v>2690</v>
      </c>
      <c r="E26" s="353" t="s">
        <v>0</v>
      </c>
      <c r="F26" s="197" t="s">
        <v>68</v>
      </c>
      <c r="G26" s="34"/>
    </row>
    <row r="27" spans="1:7" ht="90" customHeight="1">
      <c r="A27" s="356"/>
      <c r="B27" s="369"/>
      <c r="C27" s="363"/>
      <c r="D27" s="366"/>
      <c r="E27" s="354"/>
      <c r="F27" s="198" t="s">
        <v>63</v>
      </c>
      <c r="G27" s="34"/>
    </row>
    <row r="28" spans="1:7" ht="19.350000000000001" customHeight="1">
      <c r="A28" s="356"/>
      <c r="B28" s="369"/>
      <c r="C28" s="363"/>
      <c r="D28" s="366"/>
      <c r="E28" s="354"/>
      <c r="F28" s="198" t="s">
        <v>64</v>
      </c>
      <c r="G28" s="34"/>
    </row>
    <row r="29" spans="1:7" ht="74.45" customHeight="1">
      <c r="A29" s="356"/>
      <c r="B29" s="369"/>
      <c r="C29" s="363"/>
      <c r="D29" s="366"/>
      <c r="E29" s="354"/>
      <c r="F29" s="198" t="s">
        <v>65</v>
      </c>
      <c r="G29" s="34"/>
    </row>
    <row r="30" spans="1:7" ht="62.45" customHeight="1">
      <c r="A30" s="356"/>
      <c r="B30" s="369"/>
      <c r="C30" s="363"/>
      <c r="D30" s="366"/>
      <c r="E30" s="354"/>
      <c r="F30" s="198" t="s">
        <v>66</v>
      </c>
      <c r="G30" s="34"/>
    </row>
    <row r="31" spans="1:7" ht="81" customHeight="1">
      <c r="A31" s="356"/>
      <c r="B31" s="369"/>
      <c r="C31" s="363"/>
      <c r="D31" s="366"/>
      <c r="E31" s="354"/>
      <c r="F31" s="198" t="s">
        <v>67</v>
      </c>
      <c r="G31" s="34"/>
    </row>
    <row r="32" spans="1:7" ht="48.75" customHeight="1">
      <c r="A32" s="356"/>
      <c r="B32" s="369"/>
      <c r="C32" s="363"/>
      <c r="D32" s="366"/>
      <c r="E32" s="354"/>
      <c r="F32" s="198" t="s">
        <v>70</v>
      </c>
      <c r="G32" s="34"/>
    </row>
    <row r="33" spans="1:7" ht="98.45" customHeight="1">
      <c r="A33" s="356"/>
      <c r="B33" s="369"/>
      <c r="C33" s="363"/>
      <c r="D33" s="366"/>
      <c r="E33" s="354"/>
      <c r="F33" s="198" t="s">
        <v>69</v>
      </c>
      <c r="G33" s="34"/>
    </row>
    <row r="34" spans="1:7" ht="89.1" customHeight="1">
      <c r="A34" s="356"/>
      <c r="B34" s="369"/>
      <c r="C34" s="363"/>
      <c r="D34" s="366"/>
      <c r="E34" s="354"/>
      <c r="F34" s="198" t="s">
        <v>71</v>
      </c>
      <c r="G34" s="34"/>
    </row>
    <row r="35" spans="1:7" ht="29.1" customHeight="1">
      <c r="A35" s="356"/>
      <c r="B35" s="369"/>
      <c r="C35" s="363"/>
      <c r="D35" s="366"/>
      <c r="E35" s="354"/>
      <c r="F35" s="198" t="s">
        <v>72</v>
      </c>
      <c r="G35" s="34"/>
    </row>
    <row r="36" spans="1:7" ht="126.75">
      <c r="A36" s="356"/>
      <c r="B36" s="370"/>
      <c r="C36" s="364"/>
      <c r="D36" s="367"/>
      <c r="E36" s="355"/>
      <c r="F36" s="199" t="s">
        <v>73</v>
      </c>
      <c r="G36" s="34"/>
    </row>
    <row r="37" spans="1:7" ht="112.5">
      <c r="A37" s="356"/>
      <c r="B37" s="175">
        <v>3.01</v>
      </c>
      <c r="C37" s="176" t="s">
        <v>74</v>
      </c>
      <c r="D37" s="39" t="s">
        <v>2691</v>
      </c>
      <c r="E37" s="200" t="s">
        <v>1458</v>
      </c>
      <c r="F37" s="201" t="s">
        <v>1577</v>
      </c>
      <c r="G37" s="34"/>
    </row>
    <row r="38" spans="1:7" ht="101.25">
      <c r="A38" s="356"/>
      <c r="B38" s="175">
        <v>3.02</v>
      </c>
      <c r="C38" s="176" t="s">
        <v>1492</v>
      </c>
      <c r="D38" s="39" t="s">
        <v>2692</v>
      </c>
      <c r="E38" s="200" t="s">
        <v>1507</v>
      </c>
      <c r="F38" s="201" t="s">
        <v>1578</v>
      </c>
      <c r="G38" s="34"/>
    </row>
    <row r="39" spans="1:7" ht="101.25">
      <c r="A39" s="356"/>
      <c r="B39" s="184">
        <v>4</v>
      </c>
      <c r="C39" s="183" t="s">
        <v>1757</v>
      </c>
      <c r="D39" s="39" t="s">
        <v>2693</v>
      </c>
      <c r="E39" s="37" t="s">
        <v>2625</v>
      </c>
      <c r="F39" s="37" t="s">
        <v>1758</v>
      </c>
      <c r="G39" s="34"/>
    </row>
    <row r="40" spans="1:7" ht="56.25">
      <c r="A40" s="356"/>
      <c r="B40" s="175">
        <v>4.01</v>
      </c>
      <c r="C40" s="183" t="s">
        <v>1757</v>
      </c>
      <c r="D40" s="39" t="s">
        <v>2695</v>
      </c>
      <c r="E40" s="37" t="s">
        <v>2644</v>
      </c>
      <c r="F40" s="37" t="s">
        <v>2649</v>
      </c>
      <c r="G40" s="34"/>
    </row>
    <row r="41" spans="1:7" ht="56.25">
      <c r="A41" s="356"/>
      <c r="B41" s="175" t="s">
        <v>2680</v>
      </c>
      <c r="C41" s="183" t="s">
        <v>1757</v>
      </c>
      <c r="D41" s="39" t="s">
        <v>2694</v>
      </c>
      <c r="E41" s="37" t="s">
        <v>2683</v>
      </c>
      <c r="F41" s="37" t="s">
        <v>2681</v>
      </c>
      <c r="G41" s="34"/>
    </row>
    <row r="42" spans="1:7" ht="56.25">
      <c r="A42" s="356"/>
      <c r="B42" s="175" t="s">
        <v>2732</v>
      </c>
      <c r="C42" s="183" t="s">
        <v>1757</v>
      </c>
      <c r="D42" s="39" t="s">
        <v>2903</v>
      </c>
      <c r="E42" s="37" t="s">
        <v>2682</v>
      </c>
      <c r="F42" s="37" t="s">
        <v>2733</v>
      </c>
      <c r="G42" s="34"/>
    </row>
    <row r="43" spans="1:7" ht="123.75">
      <c r="A43" s="356"/>
      <c r="B43" s="193">
        <v>4.0999999999999996</v>
      </c>
      <c r="C43" s="183" t="s">
        <v>2902</v>
      </c>
      <c r="D43" s="194">
        <v>42867</v>
      </c>
      <c r="E43" s="202" t="s">
        <v>2905</v>
      </c>
      <c r="F43" s="37" t="s">
        <v>2904</v>
      </c>
      <c r="G43" s="34"/>
    </row>
    <row r="44" spans="1:7" ht="78.75">
      <c r="A44" s="356"/>
      <c r="B44" s="193">
        <v>4.2</v>
      </c>
      <c r="C44" s="183" t="s">
        <v>2902</v>
      </c>
      <c r="D44" s="194">
        <v>42704</v>
      </c>
      <c r="E44" s="202" t="s">
        <v>3155</v>
      </c>
      <c r="F44" s="37" t="s">
        <v>3120</v>
      </c>
      <c r="G44" s="34"/>
    </row>
    <row r="45" spans="1:7" ht="157.5">
      <c r="A45" s="356"/>
      <c r="B45" s="241">
        <v>5</v>
      </c>
      <c r="C45" s="183" t="s">
        <v>2902</v>
      </c>
      <c r="D45" s="194">
        <v>42867</v>
      </c>
      <c r="E45" s="202" t="s">
        <v>13730</v>
      </c>
      <c r="F45" s="37" t="s">
        <v>13315</v>
      </c>
      <c r="G45" s="34"/>
    </row>
    <row r="46" spans="1:7" ht="45">
      <c r="A46" s="356"/>
      <c r="B46" s="193">
        <v>5.01</v>
      </c>
      <c r="C46" s="183" t="s">
        <v>2902</v>
      </c>
      <c r="D46" s="194">
        <v>42907</v>
      </c>
      <c r="E46" s="202" t="s">
        <v>13786</v>
      </c>
      <c r="F46" s="37" t="s">
        <v>13315</v>
      </c>
      <c r="G46" s="34"/>
    </row>
    <row r="47" spans="1:7" ht="67.5">
      <c r="A47" s="356"/>
      <c r="B47" s="193">
        <v>5.0999999999999996</v>
      </c>
      <c r="C47" s="183" t="s">
        <v>2902</v>
      </c>
      <c r="D47" s="194">
        <v>43070</v>
      </c>
      <c r="E47" s="202" t="s">
        <v>13985</v>
      </c>
      <c r="F47" s="37" t="s">
        <v>13986</v>
      </c>
      <c r="G47" s="34"/>
    </row>
    <row r="48" spans="1:7" ht="56.25">
      <c r="A48" s="356"/>
      <c r="B48" s="193">
        <v>5.1100000000000003</v>
      </c>
      <c r="C48" s="183" t="s">
        <v>14260</v>
      </c>
      <c r="D48" s="194">
        <v>43217</v>
      </c>
      <c r="E48" s="202" t="s">
        <v>14404</v>
      </c>
      <c r="F48" s="37" t="s">
        <v>14299</v>
      </c>
      <c r="G48" s="34"/>
    </row>
    <row r="49" spans="1:7" ht="56.25">
      <c r="A49" s="356"/>
      <c r="B49" s="193">
        <v>5.12</v>
      </c>
      <c r="C49" s="183" t="s">
        <v>14260</v>
      </c>
      <c r="D49" s="194">
        <v>43581</v>
      </c>
      <c r="E49" s="202" t="s">
        <v>14404</v>
      </c>
      <c r="F49" s="37" t="s">
        <v>15467</v>
      </c>
      <c r="G49" s="34"/>
    </row>
    <row r="50" spans="1:7" ht="13.5" thickBot="1">
      <c r="A50" s="357"/>
      <c r="B50" s="358" t="str">
        <f ca="1">OFFSET(L!$C$1,MATCH("General"&amp;"Cpy",L!$A:$A,0)-1,SL,,)</f>
        <v>© 2019 Responsible Minerals Initiative。保留所有权利。</v>
      </c>
      <c r="C50" s="358"/>
      <c r="D50" s="358"/>
      <c r="E50" s="358"/>
      <c r="F50" s="358"/>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网址：(www.responsiblemineralsinitiative.org) 培训和指导、模板、负责任矿物审验流程合规冶炼厂列表。</v>
      </c>
      <c r="B1" s="118" t="s">
        <v>510</v>
      </c>
    </row>
    <row r="2" spans="1:2" ht="30">
      <c r="A2" s="128" t="str">
        <f ca="1">OFFSET(L!$C$1,MATCH("Instructions"&amp;ADDRESS(ROW(),COLUMN(),4),L!$A:$A,0)-1,SL,,)</f>
        <v>介绍</v>
      </c>
      <c r="B2" s="118" t="s">
        <v>1434</v>
      </c>
    </row>
    <row r="3" spans="1:2" ht="181.5" customHeight="1">
      <c r="A3" s="125" t="str">
        <f ca="1">OFFSET(L!$C$1,MATCH("Instructions"&amp;ADDRESS(ROW(),COLUMN(),4),L!$A:$A,0)-1,SL,,)</f>
        <v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v>
      </c>
      <c r="B3" s="118" t="s">
        <v>1435</v>
      </c>
    </row>
    <row r="4" spans="1:2" ht="150">
      <c r="A4" s="125" t="str">
        <f ca="1">OFFSET(L!$C$1,MATCH("Instructions"&amp;ADDRESS(ROW(),COLUMN(),4),L!$A:$A,0)-1,SL,,)</f>
        <v>*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v>
      </c>
      <c r="B4" s="118" t="s">
        <v>1441</v>
      </c>
    </row>
    <row r="5" spans="1:2" ht="15">
      <c r="A5" s="129"/>
      <c r="B5" s="118"/>
    </row>
    <row r="6" spans="1:2" ht="30">
      <c r="A6" s="128" t="str">
        <f ca="1">OFFSET(L!$C$1,MATCH("Instructions"&amp;ADDRESS(ROW(),COLUMN(),4),L!$A:$A,0)-1,SL,,)</f>
        <v>公司信息的填写说明（第 8 至 22 行）。
请仅以英文作答</v>
      </c>
      <c r="B6" s="118" t="s">
        <v>1434</v>
      </c>
    </row>
    <row r="7" spans="1:2" ht="15">
      <c r="A7" s="125" t="str">
        <f ca="1">OFFSET(L!$C$1,MATCH("Instructions"&amp;ADDRESS(ROW(),COLUMN(),4),L!$A:$A,0)-1,SL,,)</f>
        <v>注：带星号 (*) 的字段为必填。</v>
      </c>
      <c r="B7" s="118"/>
    </row>
    <row r="8" spans="1:2" ht="30">
      <c r="A8" s="125" t="str">
        <f ca="1">OFFSET(L!$C$1,MATCH("Instructions"&amp;ADDRESS(ROW(),COLUMN(),4),L!$A:$A,0)-1,SL,,)</f>
        <v>1. 插入贵公司的法定名称。请勿使用缩写。在此字段中，您可以选择添加其他商业名称、营业名称等。</v>
      </c>
      <c r="B8" s="118"/>
    </row>
    <row r="9" spans="1:2" ht="376.5" customHeight="1">
      <c r="A9" s="179" t="str">
        <f ca="1">OFFSET(L!$C$1,MATCH("Instructions"&amp;ADDRESS(ROW(),COLUMN(),4),L!$A:$A,0)-1,SL,,)</f>
        <v>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v>
      </c>
      <c r="B9" s="118" t="s">
        <v>1433</v>
      </c>
    </row>
    <row r="10" spans="1:2" ht="36" customHeight="1">
      <c r="A10" s="125" t="str">
        <f ca="1">OFFSET(L!$C$1,MATCH("Instructions"&amp;ADDRESS(ROW(),COLUMN(),4),L!$A:$A,0)-1,SL,,)</f>
        <v>3. 插入贵公司的唯一识别序号或编号（DUNS 号码、VAT 号码、客户特定识别码等）</v>
      </c>
      <c r="B10" s="118"/>
    </row>
    <row r="11" spans="1:2" ht="35.25" customHeight="1">
      <c r="A11" s="125" t="str">
        <f ca="1">OFFSET(L!$C$1,MATCH("Instructions"&amp;ADDRESS(ROW(),COLUMN(),4),L!$A:$A,0)-1,SL,,)</f>
        <v>4. 插入唯一识别序号或代码出处（例如“DUNS”、“VAT”、“客户”等）</v>
      </c>
      <c r="B11" s="118"/>
    </row>
    <row r="12" spans="1:2" ht="30">
      <c r="A12" s="125" t="str">
        <f ca="1">OFFSET(L!$C$1,MATCH("Instructions"&amp;ADDRESS(ROW(),COLUMN(),4),L!$A:$A,0)-1,SL,,)</f>
        <v>5. 插入贵公司的完整地址（街道、城市、州、国家或地区、邮政编码）。此为必填字段。</v>
      </c>
      <c r="B12" s="118" t="s">
        <v>1434</v>
      </c>
    </row>
    <row r="13" spans="1:2" ht="33.75" customHeight="1">
      <c r="A13" s="125" t="str">
        <f ca="1">OFFSET(L!$C$1,MATCH("Instructions"&amp;ADDRESS(ROW(),COLUMN(),4),L!$A:$A,0)-1,SL,,)</f>
        <v>6. 插入对此申报信息内容负责的联系人姓名。此为必填字段。</v>
      </c>
      <c r="B13" s="118"/>
    </row>
    <row r="14" spans="1:2" ht="30">
      <c r="A14" s="125" t="str">
        <f ca="1">OFFSET(L!$C$1,MATCH("Instructions"&amp;ADDRESS(ROW(),COLUMN(),4),L!$A:$A,0)-1,SL,,)</f>
        <v>7. 插入联系人的电子邮件地址。如果没有电子邮件地址，请说明“无”或“不适用”。如留空此字段，会导致此表格出错。此为必填字段。</v>
      </c>
      <c r="B14" s="118"/>
    </row>
    <row r="15" spans="1:2" ht="15">
      <c r="A15" s="125" t="str">
        <f ca="1">OFFSET(L!$C$1,MATCH("Instructions"&amp;ADDRESS(ROW(),COLUMN(),4),L!$A:$A,0)-1,SL,,)</f>
        <v>8. 插入联系人的电话号码。此为必填字段。</v>
      </c>
      <c r="B15" s="118"/>
    </row>
    <row r="16" spans="1:2" ht="45">
      <c r="A16" s="125" t="str">
        <f ca="1">OFFSET(L!$C$1,MATCH("Instructions"&amp;ADDRESS(ROW(),COLUMN(),4),L!$A:$A,0)-1,SL,,)</f>
        <v xml:space="preserve">9. 插入负责申报信息内容的人员姓名。授权人可能与联系人不同。请勿填写“相同”或相似信息，而需提供授权人的姓名。此为必填字段。 </v>
      </c>
      <c r="B16" s="118"/>
    </row>
    <row r="17" spans="1:2" ht="15">
      <c r="A17" s="125" t="str">
        <f ca="1">OFFSET(L!$C$1,MATCH("Instructions"&amp;ADDRESS(ROW(),COLUMN(),4),L!$A:$A,0)-1,SL,,)</f>
        <v>10. 输入授权人的职位。 此为选填字段。</v>
      </c>
      <c r="B17" s="118"/>
    </row>
    <row r="18" spans="1:2" ht="30">
      <c r="A18" s="125" t="str">
        <f ca="1">OFFSET(L!$C$1,MATCH("Instructions"&amp;ADDRESS(ROW(),COLUMN(),4),L!$A:$A,0)-1,SL,,)</f>
        <v>11.  输入授权人的电子邮件地址。如果没有电子邮件地址，请声明“无”或“不适用”。如留空此字段，会导致表格出错。此为必填字段。</v>
      </c>
      <c r="B18" s="118"/>
    </row>
    <row r="19" spans="1:2" ht="15">
      <c r="A19" s="125" t="str">
        <f ca="1">OFFSET(L!$C$1,MATCH("Instructions"&amp;ADDRESS(ROW(),COLUMN(),4),L!$A:$A,0)-1,SL,,)</f>
        <v>12. 插入授权人的电话号码。此为必填字段。</v>
      </c>
      <c r="B19" s="118"/>
    </row>
    <row r="20" spans="1:2" ht="33.75" customHeight="1">
      <c r="A20" s="125" t="str">
        <f ca="1">OFFSET(L!$C$1,MATCH("Instructions"&amp;ADDRESS(ROW(),COLUMN(),4),L!$A:$A,0)-1,SL,,)</f>
        <v>13. 请使用“日-月-年”的格式输入申报日期。此为必填字段。</v>
      </c>
      <c r="B20" s="118"/>
    </row>
    <row r="21" spans="1:2" ht="30">
      <c r="A21" s="125" t="str">
        <f ca="1">OFFSET(L!$C$1,MATCH("Instructions"&amp;ADDRESS(ROW(),COLUMN(),4),L!$A:$A,0)-1,SL,,)</f>
        <v>14. 例如，用户应将文件名保存为“公司名-日期.xls”（日期格式为年-月-日）。</v>
      </c>
      <c r="B21" s="118" t="s">
        <v>1434</v>
      </c>
    </row>
    <row r="22" spans="1:2" ht="15">
      <c r="A22" s="129"/>
      <c r="B22" s="118"/>
    </row>
    <row r="23" spans="1:2" ht="30">
      <c r="A23" s="128" t="str">
        <f ca="1">OFFSET(L!$C$1,MATCH("Instructions"&amp;ADDRESS(ROW(),COLUMN(),4),L!$A:$A,0)-1,SL,,)</f>
        <v>七道尽职调查问题的填写指南（第 24 至 65 行）。
请仅以英文作答</v>
      </c>
      <c r="B23" s="118" t="s">
        <v>1434</v>
      </c>
    </row>
    <row r="24" spans="1:2" ht="60">
      <c r="A24" s="125" t="str">
        <f ca="1">OFFSET(L!$C$1,MATCH("Instructions"&amp;ADDRESS(ROW(),COLUMN(),4),L!$A:$A,0)-1,SL,,)</f>
        <v>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v>
      </c>
      <c r="B24" s="118" t="s">
        <v>1437</v>
      </c>
    </row>
    <row r="25" spans="1:2" ht="60">
      <c r="A25" s="125" t="str">
        <f ca="1">OFFSET(L!$C$1,MATCH("Instructions"&amp;ADDRESS(ROW(),COLUMN(),4),L!$A:$A,0)-1,SL,,)</f>
        <v>对于七道必答题，请使用下拉菜单选项，为每种金属提供答复。所有 3TG 都必须完成此部分中的问题。如果给定金属之问题 1 的回答为肯定，则须完成该金属的后续问题，并应完成关于公司总体尽职调查项目的后续尽职调查问题（A 至 I）。</v>
      </c>
      <c r="B25" s="118" t="s">
        <v>1434</v>
      </c>
    </row>
    <row r="26" spans="1:2" ht="276.75" customHeight="1">
      <c r="A26" s="125" t="str">
        <f ca="1">OFFSET(L!$C$1,MATCH("Instructions"&amp;ADDRESS(ROW(),COLUMN(),4),L!$A:$A,0)-1,SL,,)</f>
        <v>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v>
      </c>
      <c r="B26" s="118" t="s">
        <v>1434</v>
      </c>
    </row>
    <row r="27" spans="1:2" ht="30">
      <c r="A27" s="125" t="str">
        <f ca="1">OFFSET(L!$C$1,MATCH("Instructions"&amp;ADDRESS(ROW(),COLUMN(),4),L!$A:$A,0)-1,SL,,)</f>
        <v xml:space="preserve">如果回答为“否”，某些公司需要进一步求证，请在注释栏中详细说明。 </v>
      </c>
      <c r="B27" s="118" t="s">
        <v>1434</v>
      </c>
    </row>
    <row r="28" spans="1:2" ht="247.5" customHeight="1">
      <c r="A28" s="125" t="str">
        <f ca="1">OFFSET(L!$C$1,MATCH("Instructions"&amp;ADDRESS(ROW(),COLUMN(),4),L!$A:$A,0)-1,SL,,)</f>
        <v>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v>
      </c>
      <c r="B28" s="118"/>
    </row>
    <row r="29" spans="1:2" ht="135">
      <c r="A29" s="125" t="str">
        <f ca="1">OFFSET(L!$C$1,MATCH("Instructions"&amp;ADDRESS(ROW(),COLUMN(),4),L!$A:$A,0)-1,SL,,)</f>
        <v>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v>
      </c>
      <c r="B29" s="118" t="s">
        <v>1434</v>
      </c>
    </row>
    <row r="30" spans="1:2" ht="153" customHeight="1">
      <c r="A30" s="125" t="str">
        <f ca="1">OFFSET(L!$C$1,MATCH("Instructions"&amp;ADDRESS(ROW(),COLUMN(),4),L!$A:$A,0)-1,SL,,)</f>
        <v>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v>
      </c>
      <c r="B30" s="118" t="s">
        <v>1434</v>
      </c>
    </row>
    <row r="31" spans="1:2" ht="180">
      <c r="A31" s="125" t="str">
        <f ca="1">OFFSET(L!$C$1,MATCH("Instructions"&amp;ADDRESS(ROW(),COLUMN(),4),L!$A:$A,0)-1,SL,,)</f>
        <v>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v>
      </c>
      <c r="B31" s="118" t="s">
        <v>1437</v>
      </c>
    </row>
    <row r="32" spans="1:2" ht="75">
      <c r="A32" s="125" t="str">
        <f ca="1">OFFSET(L!$C$1,MATCH("Instructions"&amp;ADDRESS(ROW(),COLUMN(),4),L!$A:$A,0)-1,SL,,)</f>
        <v>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v>
      </c>
      <c r="B32" s="118"/>
    </row>
    <row r="33" spans="1:2" ht="60">
      <c r="A33" s="125" t="str">
        <f ca="1">OFFSET(L!$C$1,MATCH("Instructions"&amp;ADDRESS(ROW(),COLUMN(),4),L!$A:$A,0)-1,SL,,)</f>
        <v>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v>
      </c>
      <c r="B33" s="118" t="s">
        <v>1434</v>
      </c>
    </row>
    <row r="34" spans="1:2" ht="15">
      <c r="A34" s="125" t="str">
        <f ca="1">OFFSET(L!$C$1,MATCH("Instructions"&amp;ADDRESS(ROW(),COLUMN(),4),L!$A:$A,0)-1,SL,,)</f>
        <v>在注释部分提供您的意见，以进一步说明您的回答。</v>
      </c>
      <c r="B34" s="118"/>
    </row>
    <row r="35" spans="1:2" ht="15">
      <c r="A35" s="129"/>
      <c r="B35" s="118"/>
    </row>
    <row r="36" spans="1:2" ht="45">
      <c r="A36" s="128" t="str">
        <f ca="1">OFFSET(L!$C$1,MATCH("Instructions"&amp;ADDRESS(ROW(),COLUMN(),4),L!$A:$A,0)-1,SL,,)</f>
        <v>完成问题 A 至 I 的说明（第 69 至 86 行）。如果问题 1 和 2 就任何金属的回答为“是”，必须回答问题 A 至 I。
请仅以英文作答</v>
      </c>
      <c r="B36" s="118" t="s">
        <v>1434</v>
      </c>
    </row>
    <row r="37" spans="1:2" ht="135">
      <c r="A37" s="125" t="str">
        <f ca="1">OFFSET(L!$C$1,MATCH("Instructions"&amp;ADDRESS(ROW(),COLUMN(),4),L!$A:$A,0)-1,SL,,)</f>
        <v>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v>
      </c>
      <c r="B37" s="118" t="s">
        <v>1436</v>
      </c>
    </row>
    <row r="38" spans="1:2" ht="60">
      <c r="A38" s="125" t="str">
        <f ca="1">OFFSET(L!$C$1,MATCH("Instructions"&amp;ADDRESS(ROW(),COLUMN(),4),L!$A:$A,0)-1,SL,,)</f>
        <v>A. 这是披露公司是否具有冲突矿产采购政策的申报。请以“是”或“否”来回答此问题。须在问题注释字段提供说明。
此问题必须作答。</v>
      </c>
      <c r="B38" s="118"/>
    </row>
    <row r="39" spans="1:2" ht="60">
      <c r="A39" s="125" t="str">
        <f ca="1">OFFSET(L!$C$1,MATCH("Instructions"&amp;ADDRESS(ROW(),COLUMN(),4),L!$A:$A,0)-1,SL,,)</f>
        <v>B. 这是披露公司的冲突矿产采购政策是否可在公司网站上获取的申报。请以“是”或“否”来回答此问题。如果回答“是”，用户应当在问题注释字段指出 URL。
此问题必须作答。</v>
      </c>
      <c r="B39" s="118"/>
    </row>
    <row r="40" spans="1:2" ht="75">
      <c r="A40" s="125" t="str">
        <f ca="1">OFFSET(L!$C$1,MATCH("Instructions"&amp;ADDRESS(ROW(),COLUMN(),4),L!$A:$A,0)-1,SL,,)</f>
        <v>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v>
      </c>
      <c r="B40" s="118" t="s">
        <v>1439</v>
      </c>
    </row>
    <row r="41" spans="1:2" ht="60">
      <c r="A41" s="125" t="str">
        <f ca="1">OFFSET(L!$C$1,MATCH("Instructions"&amp;ADDRESS(ROW(),COLUMN(),4),L!$A:$A,0)-1,SL,,)</f>
        <v>D. 此申报是要确定公司要求直接供应商从经过验证的无冲突矿产的冶炼厂处采购 3TG。请以“是”或“否”来回答此问题。须在问题注释字段提供说明。
此问题必须作答。</v>
      </c>
      <c r="B41" s="118" t="s">
        <v>1437</v>
      </c>
    </row>
    <row r="42" spans="1:2" ht="180">
      <c r="A42" s="125" t="str">
        <f ca="1">OFFSET(L!$C$1,MATCH("Instructions"&amp;ADDRESS(ROW(),COLUMN(),4),L!$A:$A,0)-1,SL,,)</f>
        <v>E. 请答复“是”或“否”，以披露贵公司是否已实施冲突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无冲突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v>
      </c>
      <c r="B42" s="118" t="s">
        <v>1438</v>
      </c>
    </row>
    <row r="43" spans="1:2" ht="150">
      <c r="A43" s="125" t="str">
        <f ca="1">OFFSET(L!$C$1,MATCH("Instructions"&amp;ADDRESS(ROW(),COLUMN(),4),L!$A:$A,0)-1,SL,,)</f>
        <v>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v>
      </c>
      <c r="B43" s="118" t="s">
        <v>1434</v>
      </c>
    </row>
    <row r="44" spans="1:2" ht="135">
      <c r="A44" s="125" t="str">
        <f ca="1">OFFSET(L!$C$1,MATCH("Instructions"&amp;ADDRESS(ROW(),COLUMN(),4),L!$A:$A,0)-1,SL,,)</f>
        <v>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v>
      </c>
      <c r="B44" s="118" t="s">
        <v>1435</v>
      </c>
    </row>
    <row r="45" spans="1:2" ht="60">
      <c r="A45" s="125" t="str">
        <f ca="1">OFFSET(L!$C$1,MATCH("Instructions"&amp;ADDRESS(ROW(),COLUMN(),4),L!$A:$A,0)-1,SL,,)</f>
        <v>I. 此问题是要披露公司是否受 SEC 规则规限。请以“是”或“否”来回答此问题。须在问题注释字段提供说明。此问题必须作答。要了解更多信息，请参见 www.sec.gov。</v>
      </c>
      <c r="B45" s="118" t="s">
        <v>1434</v>
      </c>
    </row>
    <row r="46" spans="1:2" ht="45">
      <c r="A46" s="125" t="str">
        <f ca="1">OFFSET(L!$C$1,MATCH("Instructions"&amp;ADDRESS(ROW(),COLUMN(),4),L!$A:$A,0)-1,SL,,)</f>
        <v>I. 此问题是要披露公司是否受 SEC 规则规限。请以“是”或“否”来回答此问题。须在问题注释字段提供说明。此问题必须作答。要了解更多信息，请参见 www.sec.gov。</v>
      </c>
      <c r="B46" s="118" t="s">
        <v>1437</v>
      </c>
    </row>
    <row r="47" spans="1:2" ht="15">
      <c r="A47" s="129"/>
      <c r="B47" s="118"/>
    </row>
    <row r="48" spans="1:2" ht="30">
      <c r="A48" s="128" t="str">
        <f ca="1">OFFSET(L!$C$1,MATCH("Instructions"&amp;ADDRESS(ROW(),COLUMN(),4),L!$A:$A,0)-1,SL,,)</f>
        <v>注：带星号 (*) 列表示必填字段。</v>
      </c>
      <c r="B48" s="118" t="s">
        <v>1434</v>
      </c>
    </row>
    <row r="49" spans="1:2" ht="45">
      <c r="A49" s="125" t="str">
        <f ca="1">OFFSET(L!$C$1,MATCH("Instructions"&amp;ADDRESS(ROW(),COLUMN(),4),L!$A:$A,0)-1,SL,,)</f>
        <v>此模板允许使用冶炼厂查找来识别具体的冶炼厂。必须按从左到右的顺序填写 B 列和 C 列，以使用冶炼厂查找功能。
对于各金属/冶炼厂/国家或地区组合，应使用分割线。</v>
      </c>
      <c r="B49" s="118"/>
    </row>
    <row r="50" spans="1:2" ht="60">
      <c r="A50" s="125" t="str">
        <f ca="1">OFFSET(L!$C$1,MATCH("Instructions"&amp;ADDRESS(ROW(),COLUMN(),4),L!$A:$A,0)-1,SL,,)</f>
        <v>1. 冶炼厂识别输入列 - 如果您知道冶炼厂识别号码，请在 A 列输入号码（B、C、E、F、G、I 和 J 列将自动填入）。A 列不会自动填入。</v>
      </c>
      <c r="B50" s="118" t="s">
        <v>1433</v>
      </c>
    </row>
    <row r="51" spans="1:2" ht="30">
      <c r="A51" s="125" t="str">
        <f ca="1">OFFSET(L!$C$1,MATCH("Instructions"&amp;ADDRESS(ROW(),COLUMN(),4),L!$A:$A,0)-1,SL,,)</f>
        <v>21. 金属 (*) - 在下拉菜单中，选择正在输入信息的冶炼厂所提炼的金属。 此为必填字段。</v>
      </c>
      <c r="B51" s="118" t="s">
        <v>1434</v>
      </c>
    </row>
    <row r="52" spans="1:2" ht="60">
      <c r="A52" s="125" t="str">
        <f ca="1">OFFSET(L!$C$1,MATCH("Instructions"&amp;ADDRESS(ROW(),COLUMN(),4),L!$A:$A,0)-1,SL,,)</f>
        <v>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v>
      </c>
      <c r="B52" s="118"/>
    </row>
    <row r="53" spans="1:2" ht="30">
      <c r="A53" s="189" t="str">
        <f ca="1">OFFSET(L!$C$1,MATCH("Instructions"&amp;ADDRESS(ROW(),COLUMN(),4),L!$A:$A,0)-1,SL,,)</f>
        <v>4. 冶炼厂名称 (1) - 如果选择 C 列中的冶炼厂名称，请填写冶炼厂的名称。如果选择 C 列中的“冶炼厂未列出”，此字段将自动填入。此为必填字段。</v>
      </c>
      <c r="B53" s="118" t="s">
        <v>1434</v>
      </c>
    </row>
    <row r="54" spans="1:2" ht="60">
      <c r="A54" s="125" t="str">
        <f ca="1">OFFSET(L!$C$1,MATCH("Instructions"&amp;ADDRESS(ROW(),COLUMN(),4),L!$A:$A,0)-1,SL,,)</f>
        <v>5. 冶炼厂所在国家或地区 (*) - 如果选择 C 列中的冶炼厂名称，此字段会自动填入。如果选择 C 列中的“冶炼厂未列出”，请使用下拉菜单，选择冶炼厂所在国家或地区。此为必填字段。</v>
      </c>
      <c r="B54" s="118" t="s">
        <v>1433</v>
      </c>
    </row>
    <row r="55" spans="1:2" ht="75">
      <c r="A55" s="125" t="str">
        <f ca="1">OFFSET(L!$C$1,MATCH("Instructions"&amp;ADDRESS(ROW(),COLUMN(),4),L!$A:$A,0)-1,SL,,)</f>
        <v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v>
      </c>
      <c r="B55" s="118" t="s">
        <v>1439</v>
      </c>
    </row>
    <row r="56" spans="1:2" ht="60">
      <c r="A56" s="125" t="str">
        <f ca="1">OFFSET(L!$C$1,MATCH("Instructions"&amp;ADDRESS(ROW(),COLUMN(),4),L!$A:$A,0)-1,SL,,)</f>
        <v xml:space="preserve">7. 冶炼厂识别号码 - F 列包括所有的冶炼厂识别号码。 如果在 C 列中使用下拉框选择冶炼厂名称，此字段会自动填入。 </v>
      </c>
      <c r="B56" s="118" t="s">
        <v>1433</v>
      </c>
    </row>
    <row r="57" spans="1:2" ht="60">
      <c r="A57" s="125" t="str">
        <f ca="1">OFFSET(L!$C$1,MATCH("Instructions"&amp;ADDRESS(ROW(),COLUMN(),4),L!$A:$A,0)-1,SL,,)</f>
        <v>8. 冶炼厂所在街道 - 提供冶炼厂所在街道的名称。此为选填字段。</v>
      </c>
      <c r="B57" s="118" t="s">
        <v>1433</v>
      </c>
    </row>
    <row r="58" spans="1:2" ht="60">
      <c r="A58" s="125" t="str">
        <f ca="1">OFFSET(L!$C$1,MATCH("Instructions"&amp;ADDRESS(ROW(),COLUMN(),4),L!$A:$A,0)-1,SL,,)</f>
        <v>9. 冶炼厂所在城市 - 提供冶炼厂所在城市的名称。此为选填字段。</v>
      </c>
      <c r="B58" s="118" t="s">
        <v>1433</v>
      </c>
    </row>
    <row r="59" spans="1:2" ht="30">
      <c r="A59" s="125" t="str">
        <f ca="1">OFFSET(L!$C$1,MATCH("Instructions"&amp;ADDRESS(ROW(),COLUMN(),4),L!$A:$A,0)-1,SL,,)</f>
        <v>10. 冶炼厂地点：州/省（如适用）- 提供冶炼厂所在的州/省。此为选填字段。</v>
      </c>
      <c r="B59" s="118" t="s">
        <v>1434</v>
      </c>
    </row>
    <row r="60" spans="1:2" ht="198.75" customHeight="1">
      <c r="A60" s="125" t="str">
        <f ca="1">OFFSET(L!$C$1,MATCH("Instructions"&amp;ADDRESS(ROW(),COLUMN(),4),L!$A:$A,0)-1,SL,,)</f>
        <v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v>
      </c>
      <c r="B60" s="118" t="s">
        <v>1437</v>
      </c>
    </row>
    <row r="61" spans="1:2" ht="45">
      <c r="A61" s="125" t="str">
        <f ca="1">OFFSET(L!$C$1,MATCH("Instructions"&amp;ADDRESS(ROW(),COLUMN(),4),L!$A:$A,0)-1,SL,,)</f>
        <v xml:space="preserve">12. 冶炼厂联系人电子邮件 - 填写被确定为冶炼厂联系人的电子邮件。例如： John.Smith@SmelterXXX.com。填写此字段栏前，请阅读冶炼厂联系人姓名填写指引。 </v>
      </c>
      <c r="B61" s="118" t="s">
        <v>1437</v>
      </c>
    </row>
    <row r="62" spans="1:2" ht="75">
      <c r="A62" s="125" t="str">
        <f ca="1">OFFSET(L!$C$1,MATCH("Instructions"&amp;ADDRESS(ROW(),COLUMN(),4),L!$A:$A,0)-1,SL,,)</f>
        <v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v>
      </c>
      <c r="B62" s="118" t="s">
        <v>1433</v>
      </c>
    </row>
    <row r="63" spans="1:2" ht="90">
      <c r="A63" s="125" t="str">
        <f ca="1">OFFSET(L!$C$1,MATCH("Instructions"&amp;ADDRESS(ROW(),COLUMN(),4),L!$A:$A,0)-1,SL,,)</f>
        <v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v>
      </c>
      <c r="B63" s="118" t="s">
        <v>1433</v>
      </c>
    </row>
    <row r="64" spans="1:2" ht="90">
      <c r="A64" s="125" t="str">
        <f ca="1">OFFSET(L!$C$1,MATCH("Instructions"&amp;ADDRESS(ROW(),COLUMN(),4),L!$A:$A,0)-1,SL,,)</f>
        <v>15. 表明冶炼厂是否仅从回收料或报废料资源中获取冶炼过程的来料。此为选答问题。本问题允许的回答包括：
- 是
- 否
- 未知</v>
      </c>
      <c r="B64" s="118"/>
    </row>
    <row r="65" spans="1:2" ht="30">
      <c r="A65" s="125" t="str">
        <f ca="1">OFFSET(L!$C$1,MATCH("Instructions"&amp;ADDRESS(ROW(),COLUMN(),4),L!$A:$A,0)-1,SL,,)</f>
        <v>17. 注释 - 无格式限制的文字栏，可输入有关冶炼厂的任何意见。例如：冶炼厂正在被 YYY 公司收购</v>
      </c>
      <c r="B65" s="118"/>
    </row>
    <row r="66" spans="1:2" ht="110.25" customHeight="1">
      <c r="A66" s="125" t="str">
        <f ca="1">OFFSET(L!$C$1,MATCH("Instructions"&amp;ADDRESS(ROW(),COLUMN(),4),L!$A:$A,0)-1,SL,,)</f>
        <v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v>
      </c>
      <c r="B66" s="118"/>
    </row>
    <row r="67" spans="1:2" s="28" customFormat="1" ht="15">
      <c r="A67" s="130"/>
      <c r="B67" s="118"/>
    </row>
    <row r="68" spans="1:2" s="28" customFormat="1" ht="153" customHeight="1">
      <c r="A68" s="128" t="str">
        <f ca="1">OFFSET(L!$C$1,MATCH("Instructions"&amp;ADDRESS(ROW(),COLUMN(),4),L!$A:$A,0)-1,SL,,)</f>
        <v>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v>
      </c>
      <c r="B68" s="118"/>
    </row>
    <row r="69" spans="1:2" s="28" customFormat="1" ht="15">
      <c r="A69" s="130"/>
      <c r="B69" s="118"/>
    </row>
    <row r="70" spans="1:2" ht="60">
      <c r="A70" s="128" t="str">
        <f ca="1">OFFSET(L!$C$1,MATCH("Instructions"&amp;ADDRESS(ROW(),COLUMN(),4),L!$A:$A,0)-1,SL,,)</f>
        <v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v>
      </c>
      <c r="B70" s="118" t="s">
        <v>1434</v>
      </c>
    </row>
    <row r="71" spans="1:2" ht="165">
      <c r="A71" s="125" t="str">
        <f ca="1">OFFSET(L!$C$1,MATCH("Instructions"&amp;ADDRESS(ROW(),COLUMN(),4),L!$A:$A,0)-1,SL,,)</f>
        <v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v>
      </c>
      <c r="B71" s="118" t="s">
        <v>1440</v>
      </c>
    </row>
    <row r="72" spans="1:2" ht="90">
      <c r="A72" s="125" t="str">
        <f ca="1">OFFSET(L!$C$1,MATCH("Instructions"&amp;ADDRESS(ROW(),COLUMN(),4),L!$A:$A,0)-1,SL,,)</f>
        <v>如果此条款及细则的某个条款部分在法律下无效或不可执行，被视为无效的部分应仅限于该无效或不能强制执行的部份，而不以任何方式影响到条款及细则的其余条款。</v>
      </c>
      <c r="B72" s="118" t="s">
        <v>1438</v>
      </c>
    </row>
    <row r="73" spans="1:2" ht="75">
      <c r="A73" s="125" t="str">
        <f ca="1">OFFSET(L!$C$1,MATCH("Instructions"&amp;ADDRESS(ROW(),COLUMN(),4),L!$A:$A,0)-1,SL,,)</f>
        <v>通过登入和使用该列表或任何工具，并经过考量，该用户同意上述条款。</v>
      </c>
      <c r="B73" s="118" t="s">
        <v>1439</v>
      </c>
    </row>
    <row r="74" spans="1:2" ht="30">
      <c r="A74" s="125"/>
      <c r="B74" s="118" t="s">
        <v>509</v>
      </c>
    </row>
    <row r="75" spans="1:2" ht="15">
      <c r="A75" s="125" t="str">
        <f ca="1">OFFSET(L!$C$1,MATCH("General"&amp;"Cpy",L!$A:$A,0)-1,SL,,)</f>
        <v>© 2019 Responsible Minerals Initiative。保留所有权利。</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1"/>
      <c r="B1" s="372"/>
      <c r="C1" s="372"/>
      <c r="D1" s="373"/>
    </row>
    <row r="2" spans="1:5" ht="71.25" customHeight="1">
      <c r="A2" s="90"/>
      <c r="B2" s="171">
        <f ca="1">OFFSET(L!$C$1,MATCH("Definitions"&amp;ADDRESS(ROW(),COLUMN(),4),L!$A:$A,0)-1,SL,,)</f>
        <v>0</v>
      </c>
      <c r="C2" s="171">
        <f ca="1">OFFSET(L!$C$1,MATCH("Definitions"&amp;ADDRESS(ROW(),COLUMN(),4),L!$A:$A,0)-1,SL,,)</f>
        <v>0</v>
      </c>
      <c r="D2" s="375"/>
      <c r="E2" s="131"/>
    </row>
    <row r="3" spans="1:5" ht="63.95" customHeight="1">
      <c r="A3" s="90"/>
      <c r="B3" s="77" t="str">
        <f ca="1">OFFSET(L!$C$1,MATCH("Definitions"&amp;ADDRESS(ROW(),COLUMN(),4),L!$A:$A,0)-1,SL,,)</f>
        <v>3TG 是钽 (Tantalum)、锡 (Tin)、钨 (Tungsten)、金 (Gold) 的缩写</v>
      </c>
      <c r="C3" s="77" t="str">
        <f ca="1">OFFSET(L!$C$1,MATCH("Definitions"&amp;ADDRESS(ROW(),COLUMN(),4),L!$A:$A,0)-1,SL,,)</f>
        <v>钽、锡、钨、金</v>
      </c>
      <c r="D3" s="375"/>
      <c r="E3" s="132" t="s">
        <v>1442</v>
      </c>
    </row>
    <row r="4" spans="1:5" ht="63.75" customHeight="1">
      <c r="A4" s="90"/>
      <c r="B4" s="77">
        <f ca="1">OFFSET(L!$C$1,MATCH("Definitions"&amp;ADDRESS(ROW(),COLUMN(),4),L!$A:$A,0)-1,SL,,)</f>
        <v>0</v>
      </c>
      <c r="C4" s="77" t="str">
        <f ca="1">OFFSET(L!$C$1,MATCH("Definitions"&amp;ADDRESS(ROW(),COLUMN(),4),L!$A:$A,0)-1,SL,,)</f>
        <v xml:space="preserve">此字段定义负责申报内容的人员。授权人可能与联络人不同。请勿填写“相同”或相似信息，需提供授权人的姓名。 </v>
      </c>
      <c r="D4" s="375"/>
      <c r="E4" s="132"/>
    </row>
    <row r="5" spans="1:5" ht="105">
      <c r="A5" s="90"/>
      <c r="B5" s="77" t="str">
        <f ca="1">OFFSET(L!$C$1,MATCH("Definitions"&amp;ADDRESS(ROW(),COLUMN(),4),L!$A:$A,0)-1,SL,,)</f>
        <v xml:space="preserve">冲突矿产 </v>
      </c>
      <c r="C5" s="77" t="str">
        <f ca="1">OFFSET(L!$C$1,MATCH("Definitions"&amp;ADDRESS(ROW(),COLUMN(),4),L!$A:$A,0)-1,SL,,)</f>
        <v>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v>
      </c>
      <c r="D5" s="375"/>
      <c r="E5" s="132" t="s">
        <v>1443</v>
      </c>
    </row>
    <row r="6" spans="1:5" ht="75">
      <c r="A6" s="90"/>
      <c r="B6" s="77" t="str">
        <f ca="1">OFFSET(L!$C$1,MATCH("Definitions"&amp;ADDRESS(ROW(),COLUMN(),4),L!$A:$A,0)-1,SL,,)</f>
        <v>指明国家或地区</v>
      </c>
      <c r="C6" s="77" t="str">
        <f ca="1">OFFSET(L!$C$1,MATCH("Definitions"&amp;ADDRESS(ROW(),COLUMN(),4),L!$A:$A,0)-1,SL,,)</f>
        <v>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v>
      </c>
      <c r="D6" s="375"/>
      <c r="E6" s="132" t="s">
        <v>1443</v>
      </c>
    </row>
    <row r="7" spans="1:5" ht="135">
      <c r="A7" s="90"/>
      <c r="B7" s="77" t="str">
        <f ca="1">OFFSET(L!$C$1,MATCH("Definitions"&amp;ADDRESS(ROW(),COLUMN(),4),L!$A:$A,0)-1,SL,,)</f>
        <v xml:space="preserve">申报范围或种类 </v>
      </c>
      <c r="C7" s="77" t="str">
        <f ca="1">OFFSET(L!$C$1,MATCH("Definitions"&amp;ADDRESS(ROW(),COLUMN(),4),L!$A:$A,0)-1,SL,,)</f>
        <v>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v>
      </c>
      <c r="D7" s="375"/>
      <c r="E7" s="132" t="s">
        <v>1446</v>
      </c>
    </row>
    <row r="8" spans="1:5" ht="60">
      <c r="A8" s="90"/>
      <c r="B8" s="77" t="str">
        <f ca="1">OFFSET(L!$C$1,MATCH("Definitions"&amp;ADDRESS(ROW(),COLUMN(),4),L!$A:$A,0)-1,SL,,)</f>
        <v>多德-弗兰克</v>
      </c>
      <c r="C8" s="77" t="str">
        <f ca="1">OFFSET(L!$C$1,MATCH("Definitions"&amp;ADDRESS(ROW(),COLUMN(),4),L!$A:$A,0)-1,SL,,)</f>
        <v>2010 年，美国通过立法《多德-弗兰克华尔街金融改革与消费者保护法》(Dodd-Frank Wall Street Reform and Consumer Protection Act) 第 1502 条（简称“多德-弗兰克”）                                  (http://www.sec.gov/about/laws/wallstreetreform-cpa.pdf)</v>
      </c>
      <c r="D8" s="375"/>
      <c r="E8" s="132" t="s">
        <v>1443</v>
      </c>
    </row>
    <row r="9" spans="1:5" ht="45">
      <c r="A9" s="90"/>
      <c r="B9" s="77" t="str">
        <f ca="1">OFFSET(L!$C$1,MATCH("Definitions"&amp;ADDRESS(ROW(),COLUMN(),4),L!$A:$A,0)-1,SL,,)</f>
        <v>刚果民主共和国</v>
      </c>
      <c r="C9" s="77" t="str">
        <f ca="1">OFFSET(L!$C$1,MATCH("Definitions"&amp;ADDRESS(ROW(),COLUMN(),4),L!$A:$A,0)-1,SL,,)</f>
        <v>刚果民主共和国</v>
      </c>
      <c r="D9" s="375"/>
      <c r="E9" s="132" t="s">
        <v>1442</v>
      </c>
    </row>
    <row r="10" spans="1:5" ht="60">
      <c r="A10" s="90"/>
      <c r="B10" s="77" t="str">
        <f ca="1">OFFSET(L!$C$1,MATCH("Definitions"&amp;ADDRESS(ROW(),COLUMN(),4),L!$A:$A,0)-1,SL,,)</f>
        <v>刚果民主共和国无冲突的冲突矿产</v>
      </c>
      <c r="C10" s="77" t="str">
        <f ca="1">OFFSET(L!$C$1,MATCH("Definitions"&amp;ADDRESS(ROW(),COLUMN(),4),L!$A:$A,0)-1,SL,,)</f>
        <v>产品不含能直接或间直资助和受益于刚果民主共和国或毗邻国家内武装组织的物质成分。资料来源：2010 年，美国通过立法《多德-弗兰克华尔街金融改革与消费者保护法》第 1502 条 (http://www.sec.gov/about/laws/wallstreetreform-cpa.pdf)</v>
      </c>
      <c r="D10" s="375"/>
      <c r="E10" s="132" t="s">
        <v>1442</v>
      </c>
    </row>
    <row r="11" spans="1:5" ht="60">
      <c r="A11" s="90"/>
      <c r="B11" s="77" t="str">
        <f ca="1">OFFSET(L!$C$1,MATCH("Definitions"&amp;ADDRESS(ROW(),COLUMN(),4),L!$A:$A,0)-1,SL,,)</f>
        <v>金精炼厂（冶炼厂）</v>
      </c>
      <c r="C11" s="77" t="str">
        <f ca="1">OFFSET(L!$C$1,MATCH("Definitions"&amp;ADDRESS(ROW(),COLUMN(),4),L!$A:$A,0)-1,SL,,)</f>
        <v>金精炼是指一种从黄金和含金量低的物料中提炼出纯度达 99.5% 或更高的黄金的冶金操作。请参考负责任矿物审验流程中的审核标准，了解对这类型金属的完整描述：http://www.responsiblemineralsinitiative.org/smelter-introduction/。</v>
      </c>
      <c r="D11" s="375"/>
      <c r="E11" s="132" t="s">
        <v>1442</v>
      </c>
    </row>
    <row r="12" spans="1:5" ht="107.25" customHeight="1">
      <c r="A12" s="90"/>
      <c r="B12" s="77" t="str">
        <f ca="1">OFFSET(L!$C$1,MATCH("Definitions"&amp;ADDRESS(ROW(),COLUMN(),4),L!$A:$A,0)-1,SL,,)</f>
        <v>独立的第三方审核机构</v>
      </c>
      <c r="C12" s="77" t="str">
        <f ca="1">OFFSET(L!$C$1,MATCH("Definitions"&amp;ADDRESS(ROW(),COLUMN(),4),L!$A:$A,0)-1,SL,,)</f>
        <v>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v>
      </c>
      <c r="D12" s="375"/>
      <c r="E12" s="132" t="s">
        <v>1444</v>
      </c>
    </row>
    <row r="13" spans="1:5" ht="303.75" customHeight="1">
      <c r="A13" s="90"/>
      <c r="B13" s="77" t="str">
        <f ca="1">OFFSET(L!$C$1,MATCH("Definitions"&amp;ADDRESS(ROW(),COLUMN(),4),L!$A:$A,0)-1,SL,,)</f>
        <v>有意添加</v>
      </c>
      <c r="C13" s="77" t="str">
        <f ca="1">OFFSET(L!$C$1,MATCH("Definitions"&amp;ADDRESS(ROW(),COLUMN(),4),L!$A:$A,0)-1,SL,,)</f>
        <v>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v>
      </c>
      <c r="D13" s="375"/>
      <c r="E13" s="132" t="s">
        <v>1442</v>
      </c>
    </row>
    <row r="14" spans="1:5" ht="120">
      <c r="A14" s="90"/>
      <c r="B14" s="77" t="str">
        <f ca="1">OFFSET(L!$C$1,MATCH("Definitions"&amp;ADDRESS(ROW(),COLUMN(),4),L!$A:$A,0)-1,SL,,)</f>
        <v>IPC</v>
      </c>
      <c r="C14" s="77" t="str">
        <f ca="1">OFFSET(L!$C$1,MATCH("Definitions"&amp;ADDRESS(ROW(),COLUMN(),4),L!$A:$A,0)-1,SL,,)</f>
        <v>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v>
      </c>
      <c r="D14" s="375"/>
      <c r="E14" s="132" t="s">
        <v>1442</v>
      </c>
    </row>
    <row r="15" spans="1:5" ht="60">
      <c r="A15" s="90"/>
      <c r="B15" s="77" t="str">
        <f ca="1">OFFSET(L!$C$1,MATCH("Definitions"&amp;ADDRESS(ROW(),COLUMN(),4),L!$A:$A,0)-1,SL,,)</f>
        <v>IPC-1755 冲突矿产数据交换标准</v>
      </c>
      <c r="C15" s="77" t="str">
        <f ca="1">OFFSET(L!$C$1,MATCH("Definitions"&amp;ADDRESS(ROW(),COLUMN(),4),L!$A:$A,0)-1,SL,,)</f>
        <v xml:space="preserve">此 IPC 标准要求供应商与其客户交换冲突矿产的信息。为迎合大范围成员的需要，此标准对单一申报中的产品范围的要求是相当灵活的。 故此标准不能作为合规的指引。 </v>
      </c>
      <c r="D15" s="375"/>
      <c r="E15" s="132" t="s">
        <v>1442</v>
      </c>
    </row>
    <row r="16" spans="1:5" ht="180">
      <c r="A16" s="90"/>
      <c r="B16" s="77" t="str">
        <f ca="1">OFFSET(L!$C$1,MATCH("Definitions"&amp;ADDRESS(ROW(),COLUMN(),4),L!$A:$A,0)-1,SL,,)</f>
        <v>产品功能需要</v>
      </c>
      <c r="C16" s="77" t="str">
        <f ca="1">OFFSET(L!$C$1,MATCH("Definitions"&amp;ADDRESS(ROW(),COLUMN(),4),L!$A:$A,0)-1,SL,,)</f>
        <v>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v>
      </c>
      <c r="D16" s="375"/>
      <c r="E16" s="132" t="s">
        <v>1442</v>
      </c>
    </row>
    <row r="17" spans="1:5" ht="150">
      <c r="A17" s="90"/>
      <c r="B17" s="77" t="str">
        <f ca="1">OFFSET(L!$C$1,MATCH("Definitions"&amp;ADDRESS(ROW(),COLUMN(),4),L!$A:$A,0)-1,SL,,)</f>
        <v>产品生产需要</v>
      </c>
      <c r="C17" s="77" t="str">
        <f ca="1">OFFSET(L!$C$1,MATCH("Definitions"&amp;ADDRESS(ROW(),COLUMN(),4),L!$A:$A,0)-1,SL,,)</f>
        <v>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v>
      </c>
      <c r="D17" s="375"/>
      <c r="E17" s="132" t="s">
        <v>1442</v>
      </c>
    </row>
    <row r="18" spans="1:5" ht="15">
      <c r="A18" s="90"/>
      <c r="B18" s="77" t="str">
        <f ca="1">OFFSET(L!$C$1,MATCH("Definitions"&amp;ADDRESS(ROW(),COLUMN(),4),L!$A:$A,0)-1,SL,,)</f>
        <v>经济合作与发展组织（Organization for Economic Co-operation and Development，OECD）</v>
      </c>
      <c r="C18" s="77" t="str">
        <f ca="1">OFFSET(L!$C$1,MATCH("Definitions"&amp;ADDRESS(ROW(),COLUMN(),4),L!$A:$A,0)-1,SL,,)</f>
        <v>经济合作与发展组织</v>
      </c>
      <c r="D18" s="375"/>
      <c r="E18" s="132"/>
    </row>
    <row r="19" spans="1:5" ht="30">
      <c r="A19" s="90"/>
      <c r="B19" s="77" t="str">
        <f ca="1">OFFSET(L!$C$1,MATCH("Definitions"&amp;ADDRESS(ROW(),COLUMN(),4),L!$A:$A,0)-1,SL,,)</f>
        <v>产品</v>
      </c>
      <c r="C19" s="77" t="str">
        <f ca="1">OFFSET(L!$C$1,MATCH("Definitions"&amp;ADDRESS(ROW(),COLUMN(),4),L!$A:$A,0)-1,SL,,)</f>
        <v xml:space="preserve">公司的产品或成品是指在制造生产阶段或最后完成阶段的物料或物品，并且已可以交付或销售给客户。 </v>
      </c>
      <c r="D19" s="375"/>
      <c r="E19" s="132"/>
    </row>
    <row r="20" spans="1:5" ht="15">
      <c r="A20" s="90"/>
      <c r="B20" s="77" t="str">
        <f ca="1">OFFSET(L!$C$1,MATCH("Definitions"&amp;ADDRESS(ROW(),COLUMN(),4),L!$A:$A,0)-1,SL,,)</f>
        <v>责任商业联盟（Responsible Business Alliance，RBA）</v>
      </c>
      <c r="C20" s="77" t="str">
        <f ca="1">OFFSET(L!$C$1,MATCH("Definitions"&amp;ADDRESS(ROW(),COLUMN(),4),L!$A:$A,0)-1,SL,,)</f>
        <v>责任商业联盟 (www.responsiblebusiness.org)</v>
      </c>
      <c r="D20" s="375"/>
      <c r="E20" s="132"/>
    </row>
    <row r="21" spans="1:5" ht="106.5" customHeight="1">
      <c r="A21" s="90"/>
      <c r="B21" s="77" t="str">
        <f ca="1">OFFSET(L!$C$1,MATCH("Definitions"&amp;ADDRESS(ROW(),COLUMN(),4),L!$A:$A,0)-1,SL,,)</f>
        <v>回收或废料源</v>
      </c>
      <c r="C21" s="77"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v>
      </c>
      <c r="D21" s="375"/>
      <c r="E21" s="132"/>
    </row>
    <row r="22" spans="1:5" ht="60">
      <c r="A22" s="90"/>
      <c r="B22" s="77" t="str">
        <f ca="1">OFFSET(L!$C$1,MATCH("Definitions"&amp;ADDRESS(ROW(),COLUMN(),4),L!$A:$A,0)-1,SL,,)</f>
        <v>负责任矿物审验流程 (RMAP)</v>
      </c>
      <c r="C22" s="77"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2" s="375"/>
      <c r="E22" s="132"/>
    </row>
    <row r="23" spans="1:5" ht="168" customHeight="1">
      <c r="A23" s="90"/>
      <c r="B23" s="77" t="str">
        <f ca="1">OFFSET(L!$C$1,MATCH("Definitions"&amp;ADDRESS(ROW(),COLUMN(),4),L!$A:$A,0)-1,SL,,)</f>
        <v>负责任矿物计划</v>
      </c>
      <c r="C23" s="77" t="str">
        <f ca="1">OFFSET(L!$C$1,MATCH("Definitions"&amp;ADDRESS(ROW(),COLUMN(),4),L!$A:$A,0)-1,SL,,)</f>
        <v>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v>
      </c>
      <c r="D23" s="375"/>
      <c r="E23" s="132"/>
    </row>
    <row r="24" spans="1:5" ht="135">
      <c r="A24" s="90"/>
      <c r="B24" s="77" t="str">
        <f ca="1">OFFSET(L!$C$1,MATCH("Definitions"&amp;ADDRESS(ROW(),COLUMN(),4),L!$A:$A,0)-1,SL,,)</f>
        <v>无冲突冶炼厂计划合规冶炼厂列表</v>
      </c>
      <c r="C24" s="77" t="str">
        <f ca="1">OFFSET(L!$C$1,MATCH("Definitions"&amp;ADDRESS(ROW(),COLUMN(),4),L!$A:$A,0)-1,SL,,)</f>
        <v>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v>
      </c>
      <c r="D24" s="375"/>
      <c r="E24" s="132" t="s">
        <v>1442</v>
      </c>
    </row>
    <row r="25" spans="1:5" ht="75">
      <c r="A25" s="90"/>
      <c r="B25" s="77" t="str">
        <f ca="1">OFFSET(L!$C$1,MATCH("Definitions"&amp;ADDRESS(ROW(),COLUMN(),4),L!$A:$A,0)-1,SL,,)</f>
        <v>证券交易委员会 (SEC)</v>
      </c>
      <c r="C25" s="77" t="str">
        <f ca="1">OFFSET(L!$C$1,MATCH("Definitions"&amp;ADDRESS(ROW(),COLUMN(),4),L!$A:$A,0)-1,SL,,)</f>
        <v>美国证券交易委员会 (www.sec.gov)</v>
      </c>
      <c r="D25" s="375"/>
      <c r="E25" s="132" t="s">
        <v>1444</v>
      </c>
    </row>
    <row r="26" spans="1:5" ht="75">
      <c r="A26" s="90"/>
      <c r="B26" s="77" t="str">
        <f ca="1">OFFSET(L!$C$1,MATCH("Definitions"&amp;ADDRESS(ROW(),COLUMN(),4),L!$A:$A,0)-1,SL,,)</f>
        <v>冶炼厂</v>
      </c>
      <c r="C26" s="77" t="str">
        <f ca="1">OFFSET(L!$C$1,MATCH("Definitions"&amp;ADDRESS(ROW(),COLUMN(),4),L!$A:$A,0)-1,SL,,)</f>
        <v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v>
      </c>
      <c r="D26" s="375"/>
      <c r="E26" s="132" t="s">
        <v>1442</v>
      </c>
    </row>
    <row r="27" spans="1:5" ht="60">
      <c r="A27" s="90"/>
      <c r="B27" s="77" t="str">
        <f ca="1">OFFSET(L!$C$1,MATCH("Definitions"&amp;ADDRESS(ROW(),COLUMN(),4),L!$A:$A,0)-1,SL,,)</f>
        <v>冶炼厂识别序号</v>
      </c>
      <c r="C27" s="77" t="str">
        <f ca="1">OFFSET(L!$C$1,MATCH("Definitions"&amp;ADDRESS(ROW(),COLUMN(),4),L!$A:$A,0)-1,SL,,)</f>
        <v>负责任矿物计划 (RMI) 会编发独一无二的识别号码给由供应链成员申报上来的冶炼厂或精炼厂，无论其是否已确认过符合负责任矿物审验流程 (RMAP) 中审核标准所定义冶炼厂的物征。</v>
      </c>
      <c r="D27" s="375"/>
      <c r="E27" s="132" t="s">
        <v>1443</v>
      </c>
    </row>
    <row r="28" spans="1:5" ht="108" customHeight="1">
      <c r="A28" s="90"/>
      <c r="B28" s="77" t="str">
        <f ca="1">OFFSET(L!$C$1,MATCH("Definitions"&amp;ADDRESS(ROW(),COLUMN(),4),L!$A:$A,0)-1,SL,,)</f>
        <v>钽 (Ta) 冶炼厂</v>
      </c>
      <c r="C28" s="77" t="str">
        <f ca="1">OFFSET(L!$C$1,MATCH("Definitions"&amp;ADDRESS(ROW(),COLUMN(),4),L!$A:$A,0)-1,SL,,)</f>
        <v>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v>
      </c>
      <c r="D28" s="375"/>
      <c r="E28" s="132" t="s">
        <v>1444</v>
      </c>
    </row>
    <row r="29" spans="1:5" ht="121.5" customHeight="1">
      <c r="A29" s="90"/>
      <c r="B29" s="77" t="str">
        <f ca="1">OFFSET(L!$C$1,MATCH("Definitions"&amp;ADDRESS(ROW(),COLUMN(),4),L!$A:$A,0)-1,SL,,)</f>
        <v>锡 (Sn) 冶炼厂</v>
      </c>
      <c r="C29" s="77" t="str">
        <f ca="1">OFFSET(L!$C$1,MATCH("Definitions"&amp;ADDRESS(ROW(),COLUMN(),4),L!$A:$A,0)-1,SL,,)</f>
        <v>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v>
      </c>
      <c r="D29" s="375"/>
      <c r="E29" s="132" t="s">
        <v>1445</v>
      </c>
    </row>
    <row r="30" spans="1:5" ht="122.25" customHeight="1">
      <c r="A30" s="90"/>
      <c r="B30" s="77" t="str">
        <f ca="1">OFFSET(L!$C$1,MATCH("Definitions"&amp;ADDRESS(ROW(),COLUMN(),4),L!$A:$A,0)-1,SL,,)</f>
        <v>钨 (W) 冶炼厂</v>
      </c>
      <c r="C30" s="77" t="str">
        <f ca="1">OFFSET(L!$C$1,MATCH("Definitions"&amp;ADDRESS(ROW(),COLUMN(),4),L!$A:$A,0)-1,SL,,)</f>
        <v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v>
      </c>
      <c r="D30" s="375"/>
      <c r="E30" s="132"/>
    </row>
    <row r="31" spans="1:5" ht="15">
      <c r="A31" s="90"/>
      <c r="B31" s="374" t="str">
        <f ca="1">OFFSET(L!$C$1,MATCH("General"&amp;"Cpy",L!$A:$A,0)-1,SL,,)</f>
        <v>© 2019 Responsible Minerals Initiative。保留所有权利。</v>
      </c>
      <c r="C31" s="374"/>
      <c r="D31" s="375"/>
      <c r="E31" s="132"/>
    </row>
    <row r="32" spans="1:5" ht="13.5" thickBot="1">
      <c r="A32" s="91"/>
      <c r="B32" s="187"/>
      <c r="C32" s="187"/>
      <c r="D32" s="376"/>
    </row>
    <row r="33" ht="13.5"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Normal="100" zoomScalePageLayoutView="70" workbookViewId="0">
      <selection activeCell="G79" sqref="G79:J7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07"/>
      <c r="B1" s="408"/>
      <c r="C1" s="408"/>
      <c r="D1" s="408"/>
      <c r="E1" s="408"/>
      <c r="F1" s="408"/>
      <c r="G1" s="408"/>
      <c r="H1" s="408"/>
      <c r="I1" s="408"/>
      <c r="J1" s="408"/>
      <c r="K1" s="409"/>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10" t="str">
        <f ca="1">OFFSET(L!$C$1,MATCH("Declaration"&amp;ADDRESS(ROW(),COLUMN(),4),L!$A:$A,0)-1,SL,,)</f>
        <v>Conflict Minerals Reporting Template (CMRT)</v>
      </c>
      <c r="E2" s="411"/>
      <c r="F2" s="411"/>
      <c r="G2" s="411"/>
      <c r="H2" s="411"/>
      <c r="I2" s="411"/>
      <c r="J2" s="412"/>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14698</v>
      </c>
      <c r="E3" s="12"/>
      <c r="F3" s="420"/>
      <c r="G3" s="420"/>
      <c r="H3" s="420"/>
      <c r="I3" s="186"/>
      <c r="J3" s="172" t="s">
        <v>15472</v>
      </c>
      <c r="K3" s="47"/>
      <c r="L3" s="143"/>
      <c r="M3" s="134"/>
      <c r="N3" s="134"/>
      <c r="O3" s="135"/>
      <c r="P3" s="148">
        <f>MATCH($D$3,LN,0)</f>
        <v>2</v>
      </c>
    </row>
    <row r="4" spans="1:34" ht="15.75">
      <c r="A4" s="45"/>
      <c r="B4" s="416" t="str">
        <f ca="1">OFFSET(L!$C$1,MATCH("Declaration"&amp;ADDRESS(ROW(),COLUMN(),4),L!$A:$A,0)-1,SL,,)</f>
        <v>此填写此报告的目的是收集在产品中所用锡、钽、钨、黄金等金属的采购信息。</v>
      </c>
      <c r="C4" s="416"/>
      <c r="D4" s="416"/>
      <c r="E4" s="416"/>
      <c r="F4" s="416"/>
      <c r="G4" s="416"/>
      <c r="H4" s="416"/>
      <c r="I4" s="421">
        <f ca="1">OFFSET(L!$C$1,MATCH("Declaration"&amp;ADDRESS(ROW(),COLUMN(),4),L!$A:$A,0)-1,SL,,)</f>
        <v>0</v>
      </c>
      <c r="J4" s="421"/>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16" t="str">
        <f ca="1">OFFSET(L!$C$1,MATCH("Declaration"&amp;ADDRESS(ROW(),COLUMN(),4),L!$A:$A,0)-1,SL,,)</f>
        <v>必填字段标记为星号 (*)。参考说明选项卡，获取关于如何答复每个问题的指南。</v>
      </c>
      <c r="C6" s="416"/>
      <c r="D6" s="416"/>
      <c r="E6" s="416"/>
      <c r="F6" s="416"/>
      <c r="G6" s="416"/>
      <c r="H6" s="416"/>
      <c r="I6" s="416"/>
      <c r="J6" s="416"/>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25" t="str">
        <f ca="1">OFFSET(L!$C$1,MATCH("Declaration"&amp;ADDRESS(ROW(),COLUMN(),4),L!$A:$A,0)-1,SL,,)</f>
        <v>公司信息</v>
      </c>
      <c r="C7" s="425"/>
      <c r="D7" s="425"/>
      <c r="E7" s="425"/>
      <c r="F7" s="425"/>
      <c r="G7" s="425"/>
      <c r="H7" s="425"/>
      <c r="I7" s="425"/>
      <c r="J7" s="425"/>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公司名称 (*)：</v>
      </c>
      <c r="C8" s="92"/>
      <c r="D8" s="413" t="s">
        <v>15494</v>
      </c>
      <c r="E8" s="414"/>
      <c r="F8" s="414"/>
      <c r="G8" s="414"/>
      <c r="H8" s="414"/>
      <c r="I8" s="414"/>
      <c r="J8" s="415"/>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申报范围或种类 (*)：</v>
      </c>
      <c r="C9" s="92"/>
      <c r="D9" s="422" t="s">
        <v>564</v>
      </c>
      <c r="E9" s="423"/>
      <c r="F9" s="423"/>
      <c r="G9" s="424"/>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26" t="str">
        <f ca="1">OFFSET(L!$C$1,MATCH("Declaration"&amp;ADDRESS(ROW(),COLUMN(),4)&amp;LEFT($D$9,1),L!$A:$A,0)-1,SL,,)</f>
        <v>范围描述：</v>
      </c>
      <c r="C10" s="155"/>
      <c r="D10" s="417" t="s">
        <v>15495</v>
      </c>
      <c r="E10" s="418"/>
      <c r="F10" s="418"/>
      <c r="G10" s="418"/>
      <c r="H10" s="418"/>
      <c r="I10" s="418"/>
      <c r="J10" s="419"/>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
      <c r="A11" s="49"/>
      <c r="B11" s="427"/>
      <c r="C11" s="155"/>
      <c r="D11" s="392" t="str">
        <f ca="1">IF(D9=Q9,OFFSET(L!$C$1,MATCH("Declaration"&amp;ADDRESS(ROW(),COLUMN(),4),L!$A:$A,0)-1,SL,,),"")</f>
        <v/>
      </c>
      <c r="E11" s="393"/>
      <c r="F11" s="393"/>
      <c r="G11" s="393"/>
      <c r="H11" s="393"/>
      <c r="I11" s="393"/>
      <c r="J11" s="394"/>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 xml:space="preserve">公司唯一识别信息： </v>
      </c>
      <c r="C12" s="93"/>
      <c r="D12" s="401" t="s">
        <v>15496</v>
      </c>
      <c r="E12" s="402"/>
      <c r="F12" s="402"/>
      <c r="G12" s="402"/>
      <c r="H12" s="402"/>
      <c r="I12" s="402"/>
      <c r="J12" s="403"/>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公司唯一授权识别信息：</v>
      </c>
      <c r="C13" s="93"/>
      <c r="D13" s="401" t="s">
        <v>15497</v>
      </c>
      <c r="E13" s="402"/>
      <c r="F13" s="402"/>
      <c r="G13" s="402"/>
      <c r="H13" s="402"/>
      <c r="I13" s="402"/>
      <c r="J13" s="403"/>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地址：</v>
      </c>
      <c r="C14" s="93"/>
      <c r="D14" s="401" t="s">
        <v>15498</v>
      </c>
      <c r="E14" s="402"/>
      <c r="F14" s="402"/>
      <c r="G14" s="402"/>
      <c r="H14" s="402"/>
      <c r="I14" s="402"/>
      <c r="J14" s="403"/>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联系人姓名 (*)：</v>
      </c>
      <c r="C15" s="93"/>
      <c r="D15" s="401" t="s">
        <v>15499</v>
      </c>
      <c r="E15" s="402"/>
      <c r="F15" s="402"/>
      <c r="G15" s="402"/>
      <c r="H15" s="402"/>
      <c r="I15" s="402"/>
      <c r="J15" s="403"/>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电子邮件 - 联系人 (*)：</v>
      </c>
      <c r="C16" s="93"/>
      <c r="D16" s="445" t="s">
        <v>15500</v>
      </c>
      <c r="E16" s="428"/>
      <c r="F16" s="428"/>
      <c r="G16" s="428"/>
      <c r="H16" s="428"/>
      <c r="I16" s="428"/>
      <c r="J16" s="429"/>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电话 - 联系人 (*)：</v>
      </c>
      <c r="C17" s="93"/>
      <c r="D17" s="401" t="s">
        <v>15501</v>
      </c>
      <c r="E17" s="402"/>
      <c r="F17" s="402"/>
      <c r="G17" s="402"/>
      <c r="H17" s="402"/>
      <c r="I17" s="402"/>
      <c r="J17" s="403"/>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授权人 (*)：</v>
      </c>
      <c r="C18" s="93"/>
      <c r="D18" s="401" t="s">
        <v>15508</v>
      </c>
      <c r="E18" s="402"/>
      <c r="F18" s="402"/>
      <c r="G18" s="402"/>
      <c r="H18" s="402"/>
      <c r="I18" s="402"/>
      <c r="J18" s="403"/>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职务 - 授权人：</v>
      </c>
      <c r="C19" s="93"/>
      <c r="D19" s="401" t="s">
        <v>15509</v>
      </c>
      <c r="E19" s="402"/>
      <c r="F19" s="402"/>
      <c r="G19" s="402"/>
      <c r="H19" s="402"/>
      <c r="I19" s="402"/>
      <c r="J19" s="403"/>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电子邮件 - 授权人 (*)：</v>
      </c>
      <c r="C20" s="93"/>
      <c r="D20" s="445" t="s">
        <v>15502</v>
      </c>
      <c r="E20" s="428"/>
      <c r="F20" s="428"/>
      <c r="G20" s="428"/>
      <c r="H20" s="428"/>
      <c r="I20" s="428"/>
      <c r="J20" s="429"/>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电话 - 授权人 (*)：</v>
      </c>
      <c r="C21" s="167"/>
      <c r="D21" s="401" t="s">
        <v>15503</v>
      </c>
      <c r="E21" s="402"/>
      <c r="F21" s="402"/>
      <c r="G21" s="402"/>
      <c r="H21" s="402"/>
      <c r="I21" s="402"/>
      <c r="J21" s="403"/>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生效日期 (*)：</v>
      </c>
      <c r="C22" s="94"/>
      <c r="D22" s="430">
        <v>43746</v>
      </c>
      <c r="E22" s="431"/>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04"/>
      <c r="E23" s="404"/>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32" t="str">
        <f ca="1">OFFSET(L!$C$1,MATCH("Declaration"&amp;ADDRESS(ROW(),COLUMN(),4),L!$A:$A,0)-1,SL,,)</f>
        <v>根据上述申报范围，回答以下 1 至 7 题</v>
      </c>
      <c r="C24" s="432"/>
      <c r="D24" s="432"/>
      <c r="E24" s="432"/>
      <c r="F24" s="432"/>
      <c r="G24" s="432"/>
      <c r="H24" s="432"/>
      <c r="I24" s="432"/>
      <c r="J24" s="432"/>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是否在产品或生产流程中有意添加或使用任何 3TG？(*)</v>
      </c>
      <c r="C25" s="20"/>
      <c r="D25" s="391" t="str">
        <f ca="1">OFFSET(L!$C$1,MATCH("Declaration"&amp;ADDRESS(ROW(),COLUMN(),4),L!$A:$A,0)-1,SL,,)</f>
        <v>回答</v>
      </c>
      <c r="E25" s="391"/>
      <c r="F25" s="21"/>
      <c r="G25" s="55" t="str">
        <f ca="1">OFFSET(L!$C$1,MATCH("Declaration"&amp;ADDRESS(ROW(),COLUMN(),4),L!$A:$A,0)-1,SL,,)</f>
        <v>注释</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钽(*)</v>
      </c>
      <c r="C26" s="46"/>
      <c r="D26" s="377" t="s">
        <v>558</v>
      </c>
      <c r="E26" s="378"/>
      <c r="F26" s="15"/>
      <c r="G26" s="379"/>
      <c r="H26" s="380"/>
      <c r="I26" s="380"/>
      <c r="J26" s="381"/>
      <c r="K26" s="47"/>
      <c r="L26" s="146"/>
      <c r="M26" s="136"/>
      <c r="N26" s="134"/>
      <c r="O26" s="135"/>
      <c r="P26" s="148"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锡(*)</v>
      </c>
      <c r="C27" s="46"/>
      <c r="D27" s="377" t="s">
        <v>558</v>
      </c>
      <c r="E27" s="378"/>
      <c r="F27" s="15"/>
      <c r="G27" s="379"/>
      <c r="H27" s="380"/>
      <c r="I27" s="380"/>
      <c r="J27" s="381"/>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金(*)</v>
      </c>
      <c r="C28" s="46"/>
      <c r="D28" s="377" t="s">
        <v>558</v>
      </c>
      <c r="E28" s="378"/>
      <c r="F28" s="15"/>
      <c r="G28" s="379"/>
      <c r="H28" s="380"/>
      <c r="I28" s="380"/>
      <c r="J28" s="381"/>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钨</v>
      </c>
      <c r="C29" s="46"/>
      <c r="D29" s="377" t="s">
        <v>559</v>
      </c>
      <c r="E29" s="378"/>
      <c r="F29" s="15"/>
      <c r="G29" s="379"/>
      <c r="H29" s="380"/>
      <c r="I29" s="380"/>
      <c r="J29" s="381"/>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是否有任何 3TG 仍存在于产品中？ (*)</v>
      </c>
      <c r="C31" s="13"/>
      <c r="D31" s="397" t="str">
        <f ca="1">D25</f>
        <v>回答</v>
      </c>
      <c r="E31" s="397"/>
      <c r="F31" s="21"/>
      <c r="G31" s="55" t="str">
        <f ca="1">G25</f>
        <v>注释</v>
      </c>
      <c r="H31" s="55"/>
      <c r="I31" s="55"/>
      <c r="J31" s="99"/>
      <c r="K31" s="47"/>
      <c r="L31" s="140" t="s">
        <v>1369</v>
      </c>
      <c r="M31" s="134"/>
      <c r="N31" s="134"/>
      <c r="O31" s="135"/>
      <c r="P31" s="56">
        <f>COUNTIF(D$26:D$29,"No")</f>
        <v>1</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钽(*)</v>
      </c>
      <c r="C32" s="13"/>
      <c r="D32" s="395" t="s">
        <v>558</v>
      </c>
      <c r="E32" s="396"/>
      <c r="F32" s="58"/>
      <c r="G32" s="379"/>
      <c r="H32" s="380"/>
      <c r="I32" s="380"/>
      <c r="J32" s="38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锡(*)</v>
      </c>
      <c r="C33" s="13"/>
      <c r="D33" s="377" t="s">
        <v>558</v>
      </c>
      <c r="E33" s="378"/>
      <c r="F33" s="58"/>
      <c r="G33" s="379"/>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金(*)</v>
      </c>
      <c r="C34" s="13"/>
      <c r="D34" s="377" t="s">
        <v>558</v>
      </c>
      <c r="E34" s="378"/>
      <c r="F34" s="58"/>
      <c r="G34" s="379"/>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钨</v>
      </c>
      <c r="C35" s="13"/>
      <c r="D35" s="377"/>
      <c r="E35" s="378"/>
      <c r="F35" s="58"/>
      <c r="G35" s="379"/>
      <c r="H35" s="380"/>
      <c r="I35" s="380"/>
      <c r="J35" s="38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贵公司供应链中的冶炼厂是否从所指明的国家采购 3TG？（有关术语“SEC”，请参见定义选项卡） (*)</v>
      </c>
      <c r="C37" s="13"/>
      <c r="D37" s="397" t="str">
        <f ca="1">D25</f>
        <v>回答</v>
      </c>
      <c r="E37" s="397"/>
      <c r="F37" s="21"/>
      <c r="G37" s="55" t="str">
        <f ca="1">G25</f>
        <v>注释</v>
      </c>
      <c r="H37" s="400"/>
      <c r="I37" s="400"/>
      <c r="J37" s="400"/>
      <c r="K37" s="47"/>
      <c r="L37" s="140" t="s">
        <v>1369</v>
      </c>
      <c r="M37" s="134"/>
      <c r="N37" s="134"/>
      <c r="O37" s="135"/>
      <c r="P37" s="56">
        <f>COUNTIF(D$26:D$29,"No")+COUNTIF(D$32:D$35,"No")</f>
        <v>1</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钽(*)</v>
      </c>
      <c r="C38" s="13"/>
      <c r="D38" s="377" t="s">
        <v>558</v>
      </c>
      <c r="E38" s="378"/>
      <c r="F38" s="58"/>
      <c r="G38" s="379"/>
      <c r="H38" s="380"/>
      <c r="I38" s="380"/>
      <c r="J38" s="381"/>
      <c r="K38" s="47"/>
      <c r="L38" s="146"/>
      <c r="M38" s="136"/>
      <c r="N38" s="134"/>
      <c r="O38" s="135"/>
      <c r="P38" s="148"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锡(*)</v>
      </c>
      <c r="C39" s="13"/>
      <c r="D39" s="377" t="s">
        <v>558</v>
      </c>
      <c r="E39" s="378"/>
      <c r="F39" s="58"/>
      <c r="G39" s="379"/>
      <c r="H39" s="380"/>
      <c r="I39" s="380"/>
      <c r="J39" s="381"/>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金(*)</v>
      </c>
      <c r="C40" s="13"/>
      <c r="D40" s="377" t="s">
        <v>558</v>
      </c>
      <c r="E40" s="378"/>
      <c r="F40" s="58"/>
      <c r="G40" s="379"/>
      <c r="H40" s="380"/>
      <c r="I40" s="380"/>
      <c r="J40" s="381"/>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钨</v>
      </c>
      <c r="C41" s="13"/>
      <c r="D41" s="377"/>
      <c r="E41" s="378"/>
      <c r="F41" s="58"/>
      <c r="G41" s="379"/>
      <c r="H41" s="380"/>
      <c r="I41" s="380"/>
      <c r="J41" s="381"/>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是否 100% 的 3TG（因产品功能或生产而必须使用）来自于回收料或报废料？ (*)</v>
      </c>
      <c r="C43" s="13"/>
      <c r="D43" s="397" t="str">
        <f ca="1">D25</f>
        <v>回答</v>
      </c>
      <c r="E43" s="397"/>
      <c r="F43" s="21"/>
      <c r="G43" s="55" t="str">
        <f ca="1">G25</f>
        <v>注释</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钽(*)</v>
      </c>
      <c r="C44" s="13"/>
      <c r="D44" s="377" t="s">
        <v>559</v>
      </c>
      <c r="E44" s="378"/>
      <c r="F44" s="58"/>
      <c r="G44" s="379"/>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锡(*)</v>
      </c>
      <c r="C45" s="13"/>
      <c r="D45" s="377" t="s">
        <v>559</v>
      </c>
      <c r="E45" s="378"/>
      <c r="F45" s="58"/>
      <c r="G45" s="379"/>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金(*)</v>
      </c>
      <c r="C46" s="13"/>
      <c r="D46" s="377" t="s">
        <v>559</v>
      </c>
      <c r="E46" s="378"/>
      <c r="F46" s="58"/>
      <c r="G46" s="379"/>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钨</v>
      </c>
      <c r="C47" s="13"/>
      <c r="D47" s="377"/>
      <c r="E47" s="378"/>
      <c r="F47" s="58"/>
      <c r="G47" s="379"/>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已对贵公司供应链调查提供答复的相关供应商百分比是多少？ (*)</v>
      </c>
      <c r="C49" s="13"/>
      <c r="D49" s="397" t="str">
        <f ca="1">D25</f>
        <v>回答</v>
      </c>
      <c r="E49" s="397"/>
      <c r="F49" s="21"/>
      <c r="G49" s="55" t="str">
        <f ca="1">G25</f>
        <v>注释</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钽(*)</v>
      </c>
      <c r="C50" s="46"/>
      <c r="D50" s="398">
        <v>1</v>
      </c>
      <c r="E50" s="399"/>
      <c r="F50" s="58"/>
      <c r="G50" s="379"/>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锡(*)</v>
      </c>
      <c r="C51" s="46"/>
      <c r="D51" s="398">
        <v>1</v>
      </c>
      <c r="E51" s="399"/>
      <c r="F51" s="58"/>
      <c r="G51" s="379"/>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金(*)</v>
      </c>
      <c r="C52" s="46"/>
      <c r="D52" s="398">
        <v>1</v>
      </c>
      <c r="E52" s="399"/>
      <c r="F52" s="58"/>
      <c r="G52" s="379"/>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钨</v>
      </c>
      <c r="C53" s="46"/>
      <c r="D53" s="398"/>
      <c r="E53" s="399"/>
      <c r="F53" s="58"/>
      <c r="G53" s="379"/>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您是否识别出为贵公司供应链供应 3TG 的所有冶炼厂？ (*)</v>
      </c>
      <c r="C55" s="13"/>
      <c r="D55" s="397" t="str">
        <f ca="1">D25</f>
        <v>回答</v>
      </c>
      <c r="E55" s="397"/>
      <c r="F55" s="21"/>
      <c r="G55" s="55" t="str">
        <f ca="1">G25</f>
        <v>注释</v>
      </c>
      <c r="H55" s="390"/>
      <c r="I55" s="390"/>
      <c r="J55" s="390"/>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钽(*)</v>
      </c>
      <c r="C56" s="13"/>
      <c r="D56" s="395" t="s">
        <v>558</v>
      </c>
      <c r="E56" s="396"/>
      <c r="F56" s="58"/>
      <c r="G56" s="379"/>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锡(*)</v>
      </c>
      <c r="C57" s="13"/>
      <c r="D57" s="377" t="s">
        <v>558</v>
      </c>
      <c r="E57" s="378"/>
      <c r="F57" s="58"/>
      <c r="G57" s="379"/>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金(*)</v>
      </c>
      <c r="C58" s="13"/>
      <c r="D58" s="377" t="s">
        <v>558</v>
      </c>
      <c r="E58" s="378"/>
      <c r="F58" s="58"/>
      <c r="G58" s="379"/>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钨</v>
      </c>
      <c r="C59" s="13"/>
      <c r="D59" s="377"/>
      <c r="E59" s="378"/>
      <c r="F59" s="58"/>
      <c r="G59" s="379"/>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贵公司收到的所有适用冶炼厂信息是否已在此申报中报告？ (*)</v>
      </c>
      <c r="C61" s="13"/>
      <c r="D61" s="397" t="str">
        <f ca="1">D25</f>
        <v>回答</v>
      </c>
      <c r="E61" s="397"/>
      <c r="F61" s="21"/>
      <c r="G61" s="55" t="str">
        <f ca="1">G25</f>
        <v>注释</v>
      </c>
      <c r="H61" s="390" t="str">
        <f>IF(Q69="(*)","Click here to enter smelter names","")</f>
        <v/>
      </c>
      <c r="I61" s="390"/>
      <c r="J61" s="390"/>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钽(*)</v>
      </c>
      <c r="C62" s="46"/>
      <c r="D62" s="377" t="s">
        <v>558</v>
      </c>
      <c r="E62" s="378"/>
      <c r="F62" s="59"/>
      <c r="G62" s="379"/>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锡(*)</v>
      </c>
      <c r="C63" s="46"/>
      <c r="D63" s="377" t="s">
        <v>558</v>
      </c>
      <c r="E63" s="378"/>
      <c r="F63" s="59"/>
      <c r="G63" s="379"/>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金(*)</v>
      </c>
      <c r="C64" s="46"/>
      <c r="D64" s="377" t="s">
        <v>558</v>
      </c>
      <c r="E64" s="378"/>
      <c r="F64" s="59"/>
      <c r="G64" s="379"/>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钨</v>
      </c>
      <c r="C65" s="60"/>
      <c r="D65" s="377"/>
      <c r="E65" s="378"/>
      <c r="F65" s="61"/>
      <c r="G65" s="379"/>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382" t="str">
        <f ca="1">OFFSET(L!$C$1,MATCH("Declaration"&amp;ADDRESS(ROW(),COLUMN(),4),L!$A:$A,0)-1,SL,,)</f>
        <v>从公司层面，回答以下问题</v>
      </c>
      <c r="C67" s="382"/>
      <c r="D67" s="382"/>
      <c r="E67" s="382"/>
      <c r="F67" s="382"/>
      <c r="G67" s="382"/>
      <c r="H67" s="382"/>
      <c r="I67" s="382"/>
      <c r="J67" s="382"/>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问题</v>
      </c>
      <c r="C68" s="97"/>
      <c r="D68" s="391" t="str">
        <f ca="1">D25</f>
        <v>回答</v>
      </c>
      <c r="E68" s="391"/>
      <c r="F68" s="64"/>
      <c r="G68" s="391" t="str">
        <f ca="1">G25</f>
        <v>注释</v>
      </c>
      <c r="H68" s="391" t="e">
        <f>HLOOKUP(SL,LT,$O68,0)</f>
        <v>#NAME?</v>
      </c>
      <c r="I68" s="391"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贵公司是否已制定冲突矿产采购政策？ (*)</v>
      </c>
      <c r="C69" s="68"/>
      <c r="D69" s="377" t="s">
        <v>558</v>
      </c>
      <c r="E69" s="378"/>
      <c r="F69" s="68"/>
      <c r="G69" s="379"/>
      <c r="H69" s="380"/>
      <c r="I69" s="380"/>
      <c r="J69" s="38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388"/>
      <c r="H70" s="388"/>
      <c r="I70" s="388"/>
      <c r="J70" s="388"/>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贵公司的冲突矿产采购政策是否公开发布于贵公司网页上？（备注 - 如果是，请在注释字段中注明 URL。） (*)</v>
      </c>
      <c r="C71" s="68"/>
      <c r="D71" s="377" t="s">
        <v>558</v>
      </c>
      <c r="E71" s="378"/>
      <c r="F71" s="68"/>
      <c r="G71" s="446" t="s">
        <v>15504</v>
      </c>
      <c r="H71" s="405"/>
      <c r="I71" s="405"/>
      <c r="J71" s="406"/>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您是否要求你的直接供应商不使用来自刚果民主共和国的涉及冲突之冲突矿产？ (*)</v>
      </c>
      <c r="C73" s="68"/>
      <c r="D73" s="377" t="s">
        <v>558</v>
      </c>
      <c r="E73" s="378"/>
      <c r="F73" s="68"/>
      <c r="G73" s="379"/>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您是否要求您的直接供应商从其尽职调查实践已被被独立第三方审核机构验证过的冶炼厂采购 3TG？  (*)</v>
      </c>
      <c r="C75" s="68"/>
      <c r="D75" s="377" t="s">
        <v>558</v>
      </c>
      <c r="E75" s="378"/>
      <c r="F75" s="68"/>
      <c r="G75" s="379"/>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贵公司是否已实施无冲突矿产采购的尽职调查措施？ (*)</v>
      </c>
      <c r="C77" s="68"/>
      <c r="D77" s="377" t="s">
        <v>558</v>
      </c>
      <c r="E77" s="378"/>
      <c r="F77" s="68"/>
      <c r="G77" s="379"/>
      <c r="H77" s="380"/>
      <c r="I77" s="380"/>
      <c r="J77" s="38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贵公司是否开展了相关供应商的冲突矿产调查？ (*)</v>
      </c>
      <c r="C79" s="68"/>
      <c r="D79" s="386" t="s">
        <v>13311</v>
      </c>
      <c r="E79" s="387"/>
      <c r="F79" s="68"/>
      <c r="G79" s="446"/>
      <c r="H79" s="380"/>
      <c r="I79" s="380"/>
      <c r="J79" s="38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388"/>
      <c r="H80" s="388"/>
      <c r="I80" s="388"/>
      <c r="J80" s="388"/>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贵公司是否根据公司期望来审查供应商提交的尽职调查信息？ (*)</v>
      </c>
      <c r="C81" s="68"/>
      <c r="D81" s="377" t="s">
        <v>558</v>
      </c>
      <c r="E81" s="378"/>
      <c r="F81" s="68"/>
      <c r="G81" s="379"/>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389"/>
      <c r="H82" s="389"/>
      <c r="I82" s="389"/>
      <c r="J82" s="389"/>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贵公司的验证程序是否包括纠正措施管理？ (*)</v>
      </c>
      <c r="C83" s="68"/>
      <c r="D83" s="377" t="s">
        <v>558</v>
      </c>
      <c r="E83" s="378"/>
      <c r="F83" s="68"/>
      <c r="G83" s="379"/>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贵公司是否需要向 SEC 提交年度冲突矿产披露报告？ (*)</v>
      </c>
      <c r="C85" s="68"/>
      <c r="D85" s="377" t="s">
        <v>559</v>
      </c>
      <c r="E85" s="378"/>
      <c r="F85" s="68"/>
      <c r="G85" s="379"/>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385" t="str">
        <f>IF(OR($D$8="",$I$3=""),"","Click here to check required fields completion")</f>
        <v/>
      </c>
      <c r="C86" s="385"/>
      <c r="D86" s="385"/>
      <c r="E86" s="385"/>
      <c r="F86" s="385"/>
      <c r="G86" s="385"/>
      <c r="H86" s="385"/>
      <c r="I86" s="385"/>
      <c r="J86" s="385"/>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383" t="str">
        <f ca="1">OFFSET(L!$C$1,MATCH("General"&amp;"Cpy",L!$A:$A,0)-1,SL,,)</f>
        <v>© 2019 Responsible Minerals Initiative。保留所有权利。</v>
      </c>
      <c r="B87" s="384"/>
      <c r="C87" s="384"/>
      <c r="D87" s="384"/>
      <c r="E87" s="384"/>
      <c r="F87" s="384"/>
      <c r="G87" s="384"/>
      <c r="H87" s="384"/>
      <c r="I87" s="384"/>
      <c r="J87" s="384"/>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80" priority="51" stopIfTrue="1">
      <formula>AND(OR($D$26="No",AND($D$26="Yes",$D$32="No")),OR($D$27="No",AND($D$27="Yes",$D$33="No")), OR($D$28="No",AND($D$28="Yes",$D$34="No")), OR($D$29="No",AND($D$29="Yes",$D$35="No")))</formula>
    </cfRule>
    <cfRule type="expression" dxfId="79" priority="52" stopIfTrue="1">
      <formula>IF(D69="",TRUE)</formula>
    </cfRule>
  </conditionalFormatting>
  <conditionalFormatting sqref="G71:J71">
    <cfRule type="expression" dxfId="78" priority="23" stopIfTrue="1">
      <formula>IF(AND($D$71="Yes",$G$71=""),TRUE)</formula>
    </cfRule>
  </conditionalFormatting>
  <conditionalFormatting sqref="D26:E26">
    <cfRule type="expression" dxfId="77" priority="103" stopIfTrue="1">
      <formula>IF($D$26="",TRUE)</formula>
    </cfRule>
  </conditionalFormatting>
  <conditionalFormatting sqref="D27:E27">
    <cfRule type="expression" dxfId="76" priority="110" stopIfTrue="1">
      <formula>IF($D$27="",TRUE)</formula>
    </cfRule>
  </conditionalFormatting>
  <conditionalFormatting sqref="D28:E28">
    <cfRule type="expression" dxfId="75" priority="111" stopIfTrue="1">
      <formula>IF($D$28="",TRUE)</formula>
    </cfRule>
  </conditionalFormatting>
  <conditionalFormatting sqref="D29:E29">
    <cfRule type="expression" dxfId="74" priority="112" stopIfTrue="1">
      <formula>IF($D$29="",TRUE)</formula>
    </cfRule>
  </conditionalFormatting>
  <conditionalFormatting sqref="D8:J8">
    <cfRule type="expression" dxfId="73" priority="117" stopIfTrue="1">
      <formula>IF($D$8="",TRUE)</formula>
    </cfRule>
  </conditionalFormatting>
  <conditionalFormatting sqref="D9:G9">
    <cfRule type="expression" dxfId="72" priority="118" stopIfTrue="1">
      <formula>IF($D$9="",TRUE)</formula>
    </cfRule>
  </conditionalFormatting>
  <conditionalFormatting sqref="D15:J15">
    <cfRule type="expression" dxfId="71" priority="119" stopIfTrue="1">
      <formula>IF($D$15="",TRUE)</formula>
    </cfRule>
  </conditionalFormatting>
  <conditionalFormatting sqref="D16:J16">
    <cfRule type="expression" dxfId="70" priority="120" stopIfTrue="1">
      <formula>IF($D$16="",TRUE)</formula>
    </cfRule>
  </conditionalFormatting>
  <conditionalFormatting sqref="D17:J17">
    <cfRule type="expression" dxfId="69" priority="121" stopIfTrue="1">
      <formula>IF($D$17="",TRUE)</formula>
    </cfRule>
  </conditionalFormatting>
  <conditionalFormatting sqref="D18:J18">
    <cfRule type="expression" dxfId="68" priority="122" stopIfTrue="1">
      <formula>IF($D$18="",TRUE)</formula>
    </cfRule>
  </conditionalFormatting>
  <conditionalFormatting sqref="D22:E22">
    <cfRule type="expression" dxfId="67" priority="125" stopIfTrue="1">
      <formula>IF($D$22="",TRUE)</formula>
    </cfRule>
  </conditionalFormatting>
  <conditionalFormatting sqref="D10:J10">
    <cfRule type="expression" dxfId="66" priority="22" stopIfTrue="1">
      <formula>IF($D$9=$Q$9,TRUE)</formula>
    </cfRule>
    <cfRule type="expression" dxfId="65" priority="132" stopIfTrue="1">
      <formula>IF(AND($D$10="",$D$9=$R$9),TRUE)</formula>
    </cfRule>
  </conditionalFormatting>
  <conditionalFormatting sqref="D34:E34 D40:E40 D46:E46 D52:E52 D58:E58 D64:E64">
    <cfRule type="expression" dxfId="64" priority="15" stopIfTrue="1">
      <formula>$P$28=""</formula>
    </cfRule>
  </conditionalFormatting>
  <conditionalFormatting sqref="D35:E35 D41:E41 D47:E47 D53:E53 D59:E59 D65:E65">
    <cfRule type="expression" dxfId="63" priority="130" stopIfTrue="1">
      <formula>$P$29=""</formula>
    </cfRule>
  </conditionalFormatting>
  <conditionalFormatting sqref="D32:E32">
    <cfRule type="expression" dxfId="62" priority="108" stopIfTrue="1">
      <formula>$P$26=""</formula>
    </cfRule>
  </conditionalFormatting>
  <conditionalFormatting sqref="D32:E32">
    <cfRule type="expression" dxfId="61" priority="21" stopIfTrue="1">
      <formula>IF(AND(OR($D$26="Yes",$D$26=""),$D$32=""),1,0)</formula>
    </cfRule>
  </conditionalFormatting>
  <conditionalFormatting sqref="D38 D44 D50 D56 D62">
    <cfRule type="expression" dxfId="60" priority="17" stopIfTrue="1">
      <formula>$P$32=""</formula>
    </cfRule>
  </conditionalFormatting>
  <conditionalFormatting sqref="D39:E39 D45 D51 D57 D63">
    <cfRule type="expression" dxfId="59" priority="16" stopIfTrue="1">
      <formula>$P$33=""</formula>
    </cfRule>
  </conditionalFormatting>
  <conditionalFormatting sqref="D40 D46 D52 D58 D64">
    <cfRule type="expression" dxfId="58" priority="6" stopIfTrue="1">
      <formula>$P$34=""</formula>
    </cfRule>
    <cfRule type="expression" dxfId="57" priority="128" stopIfTrue="1">
      <formula>IF(AND(OR($D$28="Yes",$D$28=""),D40=""),1,0)</formula>
    </cfRule>
  </conditionalFormatting>
  <conditionalFormatting sqref="D41 D47 D53 D59 D65">
    <cfRule type="expression" dxfId="56" priority="14" stopIfTrue="1">
      <formula>$P$35=""</formula>
    </cfRule>
  </conditionalFormatting>
  <conditionalFormatting sqref="D38:E38 D44:E44 D50:E50 D56:E56 D62:E62">
    <cfRule type="expression" dxfId="55" priority="19" stopIfTrue="1">
      <formula>$P$26=""</formula>
    </cfRule>
    <cfRule type="expression" dxfId="54" priority="20" stopIfTrue="1">
      <formula>IF(AND(OR($D$26="Yes",$D$26=""),D38=""),1,0)</formula>
    </cfRule>
  </conditionalFormatting>
  <conditionalFormatting sqref="G79:J79">
    <cfRule type="expression" dxfId="53" priority="13" stopIfTrue="1">
      <formula>IF(AND($D$79="Yes, using other format (describe)",$G$79=""),TRUE)</formula>
    </cfRule>
  </conditionalFormatting>
  <conditionalFormatting sqref="D39:E39 D45:E45 D51:E51 D57:E57 D63:E63">
    <cfRule type="expression" dxfId="52" priority="126" stopIfTrue="1">
      <formula>$P$39=""</formula>
    </cfRule>
    <cfRule type="expression" dxfId="51" priority="127" stopIfTrue="1">
      <formula>IF(AND(OR($D$27="Yes",$D$27=""),D39=""),1,0)</formula>
    </cfRule>
  </conditionalFormatting>
  <conditionalFormatting sqref="D33:E33">
    <cfRule type="expression" dxfId="50" priority="8" stopIfTrue="1">
      <formula>IF(AND(OR($D$27="Yes",$D$27=""),$D$33=""),1,0)</formula>
    </cfRule>
    <cfRule type="expression" dxfId="49" priority="9" stopIfTrue="1">
      <formula>$P$27=""</formula>
    </cfRule>
  </conditionalFormatting>
  <conditionalFormatting sqref="D34:E34">
    <cfRule type="expression" dxfId="48" priority="129" stopIfTrue="1">
      <formula>IF(AND(OR($D$28="Yes",$D$28=""),$D$34=""),1,0)</formula>
    </cfRule>
  </conditionalFormatting>
  <conditionalFormatting sqref="D41:E41 D47:E47 D53:E53 D59:E59 D65:E65">
    <cfRule type="expression" dxfId="47" priority="131" stopIfTrue="1">
      <formula>IF(AND(OR($D$29="Yes",$D$29=""),D41=""),1,0)</formula>
    </cfRule>
  </conditionalFormatting>
  <conditionalFormatting sqref="D35:E35">
    <cfRule type="expression" dxfId="46" priority="5" stopIfTrue="1">
      <formula>IF(AND(OR($D$29="Yes",$D$29=""),$D$35=""),1,0)</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3"/>
    <hyperlink ref="D20" r:id="rId4"/>
    <hyperlink ref="G71" r:id="rId5"/>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zoomScaleNormal="100" zoomScalePageLayoutView="55" workbookViewId="0">
      <selection activeCell="C9" sqref="C9"/>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首先：</v>
      </c>
      <c r="C2" s="205"/>
      <c r="D2" s="205"/>
      <c r="E2" s="205"/>
      <c r="F2" s="230"/>
      <c r="G2" s="230"/>
      <c r="H2" s="230"/>
      <c r="I2" s="231"/>
      <c r="J2" s="433" t="str">
        <f ca="1">OFFSET(L!$C$1,MATCH("Smelter List"&amp;ADDRESS(ROW(),COLUMN(),4),L!$A:$A,0)-1,SL,,)</f>
        <v>链接到“RMAP 合规冶炼厂列表”</v>
      </c>
      <c r="K2" s="434"/>
      <c r="L2" s="434"/>
      <c r="M2" s="434"/>
      <c r="N2" s="434"/>
      <c r="O2" s="434"/>
      <c r="P2" s="232"/>
      <c r="Q2" s="233"/>
      <c r="R2" s="234"/>
      <c r="S2" s="234"/>
      <c r="T2" s="234"/>
      <c r="U2" s="261"/>
      <c r="V2" s="261"/>
      <c r="W2" s="262"/>
      <c r="X2" s="261"/>
      <c r="Y2" s="261"/>
      <c r="Z2" s="261"/>
      <c r="AH2" s="178" t="s">
        <v>558</v>
      </c>
    </row>
    <row r="3" spans="1:34" s="263" customFormat="1" ht="255.6" customHeight="1">
      <c r="A3" s="204"/>
      <c r="B3" s="435" t="str">
        <f ca="1">OFFSET(L!$C$1,MATCH("Smelter List"&amp;ADDRESS(ROW(),COLUMN(),4),L!$A:$A,0)-1,SL,,)</f>
        <v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v>
      </c>
      <c r="C3" s="435"/>
      <c r="D3" s="435"/>
      <c r="E3" s="435"/>
      <c r="F3" s="264"/>
      <c r="G3" s="436" t="str">
        <f ca="1">OFFSET(L!$C$1,MATCH("General"&amp;"Cpy",L!$A:$A,0)-1,SL,,)</f>
        <v>© 2019 Responsible Minerals Initiative。保留所有权利。</v>
      </c>
      <c r="H3" s="436"/>
      <c r="I3" s="437"/>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冶炼厂识别号码输入列</v>
      </c>
      <c r="B4" s="255" t="str">
        <f ca="1">OFFSET(L!$C$1,MATCH("Smelter List"&amp;ADDRESS(ROW(),COLUMN(),4),L!$A:$A,0)-1,SL,,)</f>
        <v>金属 (*)</v>
      </c>
      <c r="C4" s="255" t="str">
        <f ca="1">OFFSET(L!$C$1,MATCH("Smelter List"&amp;ADDRESS(ROW(),COLUMN(),4),L!$A:$A,0)-1,SL,,)</f>
        <v>冶炼厂查找 (*)</v>
      </c>
      <c r="D4" s="255" t="str">
        <f ca="1">OFFSET(L!$C$1,MATCH("Smelter List"&amp;ADDRESS(ROW(),COLUMN(),4),L!$A:$A,0)-1,SL,,)</f>
        <v>冶炼厂名称 (1)</v>
      </c>
      <c r="E4" s="255" t="str">
        <f ca="1">OFFSET(L!$C$1,MATCH("Smelter List"&amp;ADDRESS(ROW(),COLUMN(),4),L!$A:$A,0)-1,SL,,)</f>
        <v>冶炼厂所在国家或地区 (*)</v>
      </c>
      <c r="F4" s="255" t="str">
        <f ca="1">OFFSET(L!$C$1,MATCH("Smelter List"&amp;ADDRESS(ROW(),COLUMN(),4),L!$A:$A,0)-1,SL,,)</f>
        <v>冶炼厂识别</v>
      </c>
      <c r="G4" s="255" t="str">
        <f ca="1">OFFSET(L!$C$1,MATCH("Smelter List"&amp;ADDRESS(ROW(),COLUMN(),4),L!$A:$A,0)-1,SL,,)</f>
        <v>冶炼厂出处识别号</v>
      </c>
      <c r="H4" s="177" t="str">
        <f ca="1">OFFSET(L!$C$1,MATCH("Smelter List"&amp;ADDRESS(ROW(),COLUMN(),4),L!$A:$A,0)-1,SL,,)</f>
        <v>冶炼厂所在街道</v>
      </c>
      <c r="I4" s="177" t="str">
        <f ca="1">OFFSET(L!$C$1,MATCH("Smelter List"&amp;ADDRESS(ROW(),COLUMN(),4),L!$A:$A,0)-1,SL,,)</f>
        <v>冶炼厂所在城市</v>
      </c>
      <c r="J4" s="177" t="str">
        <f ca="1">OFFSET(L!$C$1,MATCH("Smelter List"&amp;ADDRESS(ROW(),COLUMN(),4),L!$A:$A,0)-1,SL,,)</f>
        <v>冶炼厂地址：州/省</v>
      </c>
      <c r="K4" s="177" t="str">
        <f ca="1">OFFSET(L!$C$1,MATCH("Smelter List"&amp;ADDRESS(ROW(),COLUMN(),4),L!$A:$A,0)-1,SL,,)</f>
        <v>冶炼厂联系人</v>
      </c>
      <c r="L4" s="177" t="str">
        <f ca="1">OFFSET(L!$C$1,MATCH("Smelter List"&amp;ADDRESS(ROW(),COLUMN(),4),L!$A:$A,0)-1,SL,,)</f>
        <v>冶炼厂联系人电子邮件</v>
      </c>
      <c r="M4" s="177" t="str">
        <f ca="1">OFFSET(L!$C$1,MATCH("Smelter List"&amp;ADDRESS(ROW(),COLUMN(),4),L!$A:$A,0)-1,SL,,)</f>
        <v>建议的后续步骤</v>
      </c>
      <c r="N4" s="177" t="str">
        <f ca="1">OFFSET(L!$C$1,MATCH("Smelter List"&amp;ADDRESS(ROW(),COLUMN(),4),L!$A:$A,0)-1,SL,,)</f>
        <v>填写矿井名称，或如果所用矿产来自于回收料和报废料，请填写“回收”或“报废”。</v>
      </c>
      <c r="O4" s="177" t="str">
        <f ca="1">OFFSET(L!$C$1,MATCH("Smelter List"&amp;ADDRESS(ROW(),COLUMN(),4),L!$A:$A,0)-1,SL,,)</f>
        <v>填写矿井所在国家或地区，或如果所用矿产来自于回收料和报废料，请填写“回收”或“报废”。</v>
      </c>
      <c r="P4" s="177" t="str">
        <f ca="1">OFFSET(L!$C$1,MATCH("Smelter List"&amp;ADDRESS(ROW(),COLUMN(),4),L!$A:$A,0)-1,SL,,)</f>
        <v>冶炼厂的被冶炼物料是否 100% 来自于回收料或报废料？</v>
      </c>
      <c r="Q4" s="178" t="str">
        <f ca="1">OFFSET(L!$C$1,MATCH("Smelter List"&amp;ADDRESS(ROW(),COLUMN(),4),L!$A:$A,0)-1,SL,,)</f>
        <v>注释</v>
      </c>
      <c r="R4" s="255" t="s">
        <v>13306</v>
      </c>
      <c r="S4" s="255" t="s">
        <v>13282</v>
      </c>
      <c r="T4" s="255" t="s">
        <v>13283</v>
      </c>
      <c r="U4" s="237"/>
      <c r="V4" s="192"/>
      <c r="W4" s="192" t="s">
        <v>1454</v>
      </c>
      <c r="X4" s="192" t="s">
        <v>1058</v>
      </c>
      <c r="Y4" s="192"/>
      <c r="Z4" s="192"/>
      <c r="AH4" s="178" t="s">
        <v>560</v>
      </c>
    </row>
    <row r="5" spans="1:34" s="271" customFormat="1" ht="20.100000000000001" customHeight="1">
      <c r="A5" s="215" t="s">
        <v>15505</v>
      </c>
      <c r="B5" s="216" t="str">
        <f ca="1">IF(LEN(A5)=0,"",INDEX('Smelter Look-up'!$A:$A,MATCH($A5,'Smelter Look-up'!$E:$E,0)))</f>
        <v>Tantalum</v>
      </c>
      <c r="C5" s="220" t="str">
        <f ca="1">IF(LEN(A5)=0,"",INDEX('Smelter Look-up'!$C:$C,MATCH($A5,'Smelter Look-up'!$E:$E,0)))</f>
        <v>Changsha South Tantalum Niobium Co., Ltd.</v>
      </c>
      <c r="D5" s="216"/>
      <c r="E5" s="216" t="str">
        <f ca="1">IF(ISERROR($V5),"",OFFSET('Smelter Look-up'!$D$4,$V5-4,0)&amp;"")</f>
        <v>CHINA</v>
      </c>
      <c r="F5" s="216" t="str">
        <f ca="1">IF(ISERROR($V5),"",OFFSET('Smelter Look-up'!$E$4,$V5-4,0))</f>
        <v>CID000211</v>
      </c>
      <c r="G5" s="216" t="str">
        <f ca="1">IF(C5=$X$4,"Enter smelter details", IF(ISERROR($V5),"",OFFSET('Smelter Look-up'!$F$4,$V5-4,0)))</f>
        <v>RMI</v>
      </c>
      <c r="H5" s="217">
        <f ca="1">IF(ISERROR($V5),"",OFFSET('Smelter Look-up'!$G$4,$V5-4,0))</f>
        <v>0</v>
      </c>
      <c r="I5" s="218" t="str">
        <f ca="1">IF(ISERROR($V5),"",OFFSET('Smelter Look-up'!$H$4,$V5-4,0))</f>
        <v>Changsha</v>
      </c>
      <c r="J5" s="218" t="str">
        <f ca="1">IF(ISERROR($V5),"",OFFSET('Smelter Look-up'!$I$4,$V5-4,0))</f>
        <v>Hunan Sheng</v>
      </c>
      <c r="K5" s="267"/>
      <c r="L5" s="267"/>
      <c r="M5" s="267"/>
      <c r="N5" s="267"/>
      <c r="O5" s="267"/>
      <c r="P5" s="219"/>
      <c r="Q5" s="268"/>
      <c r="R5" s="216" t="str">
        <f ca="1">IF(ISERROR($V5),"",OFFSET('Smelter Look-up'!$C$4,$V5-4,0)&amp;"")</f>
        <v>Changsha South Tantalum Niobium Co., Ltd.</v>
      </c>
      <c r="S5" s="224" t="str">
        <f t="shared" ref="S5:S68" ca="1" si="0">IF(B5="","",IF(ISERROR(MATCH($E5,CL,0)),"Unknown",INDIRECT("'C'!$A$"&amp;MATCH($E5,CL,0)+1)))</f>
        <v>CN</v>
      </c>
      <c r="T5" s="224" t="str">
        <f ca="1">IF(B5="","",IF(ISERROR(MATCH($J5,SorP!$B$1:$B$6230,0)),"",INDIRECT("'SorP'!$A$"&amp;MATCH($J5,SorP!$B$1:$B$6230,0))))</f>
        <v>CN-HN</v>
      </c>
      <c r="U5" s="239"/>
      <c r="V5" s="269">
        <f ca="1">IF(C5="",NA(),MATCH($B5&amp;$C5,'Smelter Look-up'!$J:$J,0))</f>
        <v>287</v>
      </c>
      <c r="W5" s="270"/>
      <c r="X5" s="270">
        <f t="shared" ref="X5:X68" ca="1" si="1">IF(AND(C5="Smelter not listed",OR(LEN(D5)=0,LEN(E5)=0)),1,0)</f>
        <v>0</v>
      </c>
      <c r="Y5" s="270"/>
      <c r="Z5" s="270"/>
      <c r="AB5" s="272" t="str">
        <f t="shared" ref="AB5:AB68" ca="1" si="2">B5&amp;C5</f>
        <v>TantalumChangsha South Tantalum Niobium Co., Ltd.</v>
      </c>
    </row>
    <row r="6" spans="1:34" s="271" customFormat="1" ht="20.100000000000001" customHeight="1">
      <c r="A6" s="215" t="s">
        <v>15506</v>
      </c>
      <c r="B6" s="216" t="str">
        <f ca="1">IF(LEN(A6)=0,"",INDEX('Smelter Look-up'!$A:$A,MATCH($A6,'Smelter Look-up'!$E:$E,0)))</f>
        <v>Tin</v>
      </c>
      <c r="C6" s="220" t="str">
        <f ca="1">IF(LEN(A6)=0,"",INDEX('Smelter Look-up'!$C:$C,MATCH($A6,'Smelter Look-up'!$E:$E,0)))</f>
        <v>Yunnan Tin Company Limited</v>
      </c>
      <c r="D6" s="216"/>
      <c r="E6" s="216" t="str">
        <f ca="1">IF(ISERROR($V6),"",OFFSET('Smelter Look-up'!$D$4,$V6-4,0)&amp;"")</f>
        <v>CHINA</v>
      </c>
      <c r="F6" s="216" t="str">
        <f ca="1">IF(ISERROR($V6),"",OFFSET('Smelter Look-up'!$E$4,$V6-4,0))</f>
        <v>CID002180</v>
      </c>
      <c r="G6" s="216" t="str">
        <f ca="1">IF(C6=$X$4,"Enter smelter details", IF(ISERROR($V6),"",OFFSET('Smelter Look-up'!$F$4,$V6-4,0)))</f>
        <v>RMI</v>
      </c>
      <c r="H6" s="217">
        <f ca="1">IF(ISERROR($V6),"",OFFSET('Smelter Look-up'!$G$4,$V6-4,0))</f>
        <v>0</v>
      </c>
      <c r="I6" s="218" t="str">
        <f ca="1">IF(ISERROR($V6),"",OFFSET('Smelter Look-up'!$H$4,$V6-4,0))</f>
        <v>Gejiu</v>
      </c>
      <c r="J6" s="218" t="str">
        <f ca="1">IF(ISERROR($V6),"",OFFSET('Smelter Look-up'!$I$4,$V6-4,0))</f>
        <v>Yunnan Sheng</v>
      </c>
      <c r="K6" s="267"/>
      <c r="L6" s="267"/>
      <c r="M6" s="267"/>
      <c r="N6" s="267"/>
      <c r="O6" s="267"/>
      <c r="P6" s="219"/>
      <c r="Q6" s="268"/>
      <c r="R6" s="216" t="str">
        <f ca="1">IF(ISERROR($V6),"",OFFSET('Smelter Look-up'!$C$4,$V6-4,0)&amp;"")</f>
        <v>Yunnan Tin Company Limited</v>
      </c>
      <c r="S6" s="224" t="str">
        <f t="shared" ca="1" si="0"/>
        <v>CN</v>
      </c>
      <c r="T6" s="224" t="str">
        <f ca="1">IF(B6="","",IF(ISERROR(MATCH($J6,SorP!$B$1:$B$6230,0)),"",INDIRECT("'SorP'!$A$"&amp;MATCH($J6,SorP!$B$1:$B$6230,0))))</f>
        <v>CN-YN</v>
      </c>
      <c r="U6" s="239"/>
      <c r="V6" s="269">
        <f ca="1">IF(C6="",NA(),MATCH($B6&amp;$C6,'Smelter Look-up'!$J:$J,0))</f>
        <v>507</v>
      </c>
      <c r="W6" s="270"/>
      <c r="X6" s="270">
        <f t="shared" ca="1" si="1"/>
        <v>0</v>
      </c>
      <c r="Y6" s="270"/>
      <c r="Z6" s="270"/>
      <c r="AB6" s="272" t="str">
        <f t="shared" ca="1" si="2"/>
        <v>TinYunnan Tin Company Limited</v>
      </c>
    </row>
    <row r="7" spans="1:34" s="271" customFormat="1" ht="20.100000000000001" customHeight="1">
      <c r="A7" s="215" t="s">
        <v>15507</v>
      </c>
      <c r="B7" s="216" t="str">
        <f ca="1">IF(LEN(A7)=0,"",INDEX('Smelter Look-up'!$A:$A,MATCH($A7,'Smelter Look-up'!$E:$E,0)))</f>
        <v>Gold</v>
      </c>
      <c r="C7" s="220" t="str">
        <f ca="1">IF(LEN(A7)=0,"",INDEX('Smelter Look-up'!$C:$C,MATCH($A7,'Smelter Look-up'!$E:$E,0)))</f>
        <v>Inner Mongolia Qiankun Gold and Silver Refinery Share Co., Ltd.</v>
      </c>
      <c r="D7" s="216"/>
      <c r="E7" s="216" t="str">
        <f ca="1">IF(ISERROR($V7),"",OFFSET('Smelter Look-up'!$D$4,$V7-4,0)&amp;"")</f>
        <v>CHINA</v>
      </c>
      <c r="F7" s="216" t="str">
        <f ca="1">IF(ISERROR($V7),"",OFFSET('Smelter Look-up'!$E$4,$V7-4,0))</f>
        <v>CID000801</v>
      </c>
      <c r="G7" s="216" t="str">
        <f ca="1">IF(C7=$X$4,"Enter smelter details", IF(ISERROR($V7),"",OFFSET('Smelter Look-up'!$F$4,$V7-4,0)))</f>
        <v>RMI</v>
      </c>
      <c r="H7" s="217">
        <f ca="1">IF(ISERROR($V7),"",OFFSET('Smelter Look-up'!$G$4,$V7-4,0))</f>
        <v>0</v>
      </c>
      <c r="I7" s="218" t="str">
        <f ca="1">IF(ISERROR($V7),"",OFFSET('Smelter Look-up'!$H$4,$V7-4,0))</f>
        <v>Hohhot</v>
      </c>
      <c r="J7" s="218" t="str">
        <f ca="1">IF(ISERROR($V7),"",OFFSET('Smelter Look-up'!$I$4,$V7-4,0))</f>
        <v>Nei Mongol Zizhiqu</v>
      </c>
      <c r="K7" s="267"/>
      <c r="L7" s="267"/>
      <c r="M7" s="267"/>
      <c r="N7" s="267"/>
      <c r="O7" s="267"/>
      <c r="P7" s="219"/>
      <c r="Q7" s="268"/>
      <c r="R7" s="216" t="str">
        <f ca="1">IF(ISERROR($V7),"",OFFSET('Smelter Look-up'!$C$4,$V7-4,0)&amp;"")</f>
        <v>Inner Mongolia Qiankun Gold and Silver Refinery Share Co., Ltd.</v>
      </c>
      <c r="S7" s="224" t="str">
        <f t="shared" ca="1" si="0"/>
        <v>CN</v>
      </c>
      <c r="T7" s="224" t="str">
        <f ca="1">IF(B7="","",IF(ISERROR(MATCH($J7,SorP!$B$1:$B$6230,0)),"",INDIRECT("'SorP'!$A$"&amp;MATCH($J7,SorP!$B$1:$B$6230,0))))</f>
        <v>CN-NM</v>
      </c>
      <c r="U7" s="239"/>
      <c r="V7" s="269">
        <f ca="1">IF(C7="",NA(),MATCH($B7&amp;$C7,'Smelter Look-up'!$J:$J,0))</f>
        <v>99</v>
      </c>
      <c r="W7" s="270"/>
      <c r="X7" s="270">
        <f t="shared" ca="1" si="1"/>
        <v>0</v>
      </c>
      <c r="Y7" s="270"/>
      <c r="Z7" s="270"/>
      <c r="AB7" s="272" t="str">
        <f t="shared" ca="1" si="2"/>
        <v>GoldInner Mongolia Qiankun Gold and Silver Refinery Share Co., Ltd.</v>
      </c>
    </row>
    <row r="8" spans="1:34" s="271" customFormat="1" ht="20.100000000000001" customHeight="1">
      <c r="A8" s="215"/>
      <c r="B8" s="216" t="str">
        <f>IF(LEN(A8)=0,"",INDEX('Smelter Look-up'!$A:$A,MATCH($A8,'Smelter Look-up'!$E:$E,0)))</f>
        <v/>
      </c>
      <c r="C8" s="220" t="str">
        <f>IF(LEN(A8)=0,"",INDEX('Smelter Look-up'!$C:$C,MATCH($A8,'Smelter Look-up'!$E:$E,0)))</f>
        <v/>
      </c>
      <c r="D8" s="216"/>
      <c r="E8" s="216" t="str">
        <f ca="1">IF(ISERROR($V8),"",OFFSET('Smelter Look-up'!$D$4,$V8-4,0)&amp;"")</f>
        <v/>
      </c>
      <c r="F8" s="216" t="str">
        <f ca="1">IF(ISERROR($V8),"",OFFSET('Smelter Look-up'!$E$4,$V8-4,0))</f>
        <v/>
      </c>
      <c r="G8" s="216" t="str">
        <f ca="1">IF(C8=$X$4,"Enter smelter details", IF(ISERROR($V8),"",OFFSET('Smelter Look-up'!$F$4,$V8-4,0)))</f>
        <v/>
      </c>
      <c r="H8" s="217" t="str">
        <f ca="1">IF(ISERROR($V8),"",OFFSET('Smelter Look-up'!$G$4,$V8-4,0))</f>
        <v/>
      </c>
      <c r="I8" s="218" t="str">
        <f ca="1">IF(ISERROR($V8),"",OFFSET('Smelter Look-up'!$H$4,$V8-4,0))</f>
        <v/>
      </c>
      <c r="J8" s="218" t="str">
        <f ca="1">IF(ISERROR($V8),"",OFFSET('Smelter Look-up'!$I$4,$V8-4,0))</f>
        <v/>
      </c>
      <c r="K8" s="267"/>
      <c r="L8" s="267"/>
      <c r="M8" s="267"/>
      <c r="N8" s="267"/>
      <c r="O8" s="267"/>
      <c r="P8" s="219"/>
      <c r="Q8" s="268"/>
      <c r="R8" s="216" t="str">
        <f ca="1">IF(ISERROR($V8),"",OFFSET('Smelter Look-up'!$C$4,$V8-4,0)&amp;"")</f>
        <v/>
      </c>
      <c r="S8" s="224" t="str">
        <f t="shared" ca="1" si="0"/>
        <v/>
      </c>
      <c r="T8" s="224" t="str">
        <f ca="1">IF(B8="","",IF(ISERROR(MATCH($J8,SorP!$B$1:$B$6230,0)),"",INDIRECT("'SorP'!$A$"&amp;MATCH($J8,SorP!$B$1:$B$6230,0))))</f>
        <v/>
      </c>
      <c r="U8" s="239"/>
      <c r="V8" s="269" t="e">
        <f>IF(C8="",NA(),MATCH($B8&amp;$C8,'Smelter Look-up'!$J:$J,0))</f>
        <v>#N/A</v>
      </c>
      <c r="W8" s="270"/>
      <c r="X8" s="270">
        <f t="shared" ca="1" si="1"/>
        <v>0</v>
      </c>
      <c r="Y8" s="270"/>
      <c r="Z8" s="270"/>
      <c r="AB8" s="272" t="str">
        <f t="shared" si="2"/>
        <v/>
      </c>
    </row>
    <row r="9" spans="1:34" s="271" customFormat="1" ht="20.100000000000001" customHeight="1">
      <c r="A9" s="215"/>
      <c r="B9" s="216" t="str">
        <f>IF(LEN(A9)=0,"",INDEX('Smelter Look-up'!$A:$A,MATCH($A9,'Smelter Look-up'!$E:$E,0)))</f>
        <v/>
      </c>
      <c r="C9" s="220" t="str">
        <f>IF(LEN(A9)=0,"",INDEX('Smelter Look-up'!$C:$C,MATCH($A9,'Smelter Look-up'!$E:$E,0)))</f>
        <v/>
      </c>
      <c r="D9" s="216"/>
      <c r="E9" s="216" t="str">
        <f ca="1">IF(ISERROR($V9),"",OFFSET('Smelter Look-up'!$D$4,$V9-4,0)&amp;"")</f>
        <v/>
      </c>
      <c r="F9" s="216" t="str">
        <f ca="1">IF(ISERROR($V9),"",OFFSET('Smelter Look-up'!$E$4,$V9-4,0))</f>
        <v/>
      </c>
      <c r="G9" s="216" t="str">
        <f ca="1">IF(C9=$X$4,"Enter smelter details", IF(ISERROR($V9),"",OFFSET('Smelter Look-up'!$F$4,$V9-4,0)))</f>
        <v/>
      </c>
      <c r="H9" s="217" t="str">
        <f ca="1">IF(ISERROR($V9),"",OFFSET('Smelter Look-up'!$G$4,$V9-4,0))</f>
        <v/>
      </c>
      <c r="I9" s="218" t="str">
        <f ca="1">IF(ISERROR($V9),"",OFFSET('Smelter Look-up'!$H$4,$V9-4,0))</f>
        <v/>
      </c>
      <c r="J9" s="218" t="str">
        <f ca="1">IF(ISERROR($V9),"",OFFSET('Smelter Look-up'!$I$4,$V9-4,0))</f>
        <v/>
      </c>
      <c r="K9" s="267"/>
      <c r="L9" s="267"/>
      <c r="M9" s="267"/>
      <c r="N9" s="267"/>
      <c r="O9" s="267"/>
      <c r="P9" s="219"/>
      <c r="Q9" s="268"/>
      <c r="R9" s="216" t="str">
        <f ca="1">IF(ISERROR($V9),"",OFFSET('Smelter Look-up'!$C$4,$V9-4,0)&amp;"")</f>
        <v/>
      </c>
      <c r="S9" s="224" t="str">
        <f t="shared" ca="1" si="0"/>
        <v/>
      </c>
      <c r="T9" s="224" t="str">
        <f ca="1">IF(B9="","",IF(ISERROR(MATCH($J9,SorP!$B$1:$B$6230,0)),"",INDIRECT("'SorP'!$A$"&amp;MATCH($J9,SorP!$B$1:$B$6230,0))))</f>
        <v/>
      </c>
      <c r="U9" s="239"/>
      <c r="V9" s="269" t="e">
        <f>IF(C9="",NA(),MATCH($B9&amp;$C9,'Smelter Look-up'!$J:$J,0))</f>
        <v>#N/A</v>
      </c>
      <c r="W9" s="270"/>
      <c r="X9" s="270">
        <f t="shared" ca="1" si="1"/>
        <v>0</v>
      </c>
      <c r="Y9" s="270"/>
      <c r="Z9" s="270"/>
      <c r="AB9" s="272" t="str">
        <f t="shared" si="2"/>
        <v/>
      </c>
    </row>
    <row r="10" spans="1:34" s="271" customFormat="1" ht="20.100000000000001" customHeight="1">
      <c r="A10" s="215"/>
      <c r="B10" s="216" t="str">
        <f>IF(LEN(A10)=0,"",INDEX('Smelter Look-up'!$A:$A,MATCH($A10,'Smelter Look-up'!$E:$E,0)))</f>
        <v/>
      </c>
      <c r="C10" s="220" t="str">
        <f>IF(LEN(A10)=0,"",INDEX('Smelter Look-up'!$C:$C,MATCH($A10,'Smelter Look-up'!$E:$E,0)))</f>
        <v/>
      </c>
      <c r="D10" s="216"/>
      <c r="E10" s="216" t="str">
        <f ca="1">IF(ISERROR($V10),"",OFFSET('Smelter Look-up'!$D$4,$V10-4,0)&amp;"")</f>
        <v/>
      </c>
      <c r="F10" s="216" t="str">
        <f ca="1">IF(ISERROR($V10),"",OFFSET('Smelter Look-up'!$E$4,$V10-4,0))</f>
        <v/>
      </c>
      <c r="G10" s="216" t="str">
        <f ca="1">IF(C10=$X$4,"Enter smelter details", IF(ISERROR($V10),"",OFFSET('Smelter Look-up'!$F$4,$V10-4,0)))</f>
        <v/>
      </c>
      <c r="H10" s="217" t="str">
        <f ca="1">IF(ISERROR($V10),"",OFFSET('Smelter Look-up'!$G$4,$V10-4,0))</f>
        <v/>
      </c>
      <c r="I10" s="218" t="str">
        <f ca="1">IF(ISERROR($V10),"",OFFSET('Smelter Look-up'!$H$4,$V10-4,0))</f>
        <v/>
      </c>
      <c r="J10" s="218" t="str">
        <f ca="1">IF(ISERROR($V10),"",OFFSET('Smelter Look-up'!$I$4,$V10-4,0))</f>
        <v/>
      </c>
      <c r="K10" s="267"/>
      <c r="L10" s="267"/>
      <c r="M10" s="267"/>
      <c r="N10" s="267"/>
      <c r="O10" s="267"/>
      <c r="P10" s="219"/>
      <c r="Q10" s="268"/>
      <c r="R10" s="216" t="str">
        <f ca="1">IF(ISERROR($V10),"",OFFSET('Smelter Look-up'!$C$4,$V10-4,0)&amp;"")</f>
        <v/>
      </c>
      <c r="S10" s="224" t="str">
        <f t="shared" ca="1" si="0"/>
        <v/>
      </c>
      <c r="T10" s="224" t="str">
        <f ca="1">IF(B10="","",IF(ISERROR(MATCH($J10,SorP!$B$1:$B$6230,0)),"",INDIRECT("'SorP'!$A$"&amp;MATCH($J10,SorP!$B$1:$B$6230,0))))</f>
        <v/>
      </c>
      <c r="U10" s="239"/>
      <c r="V10" s="269" t="e">
        <f>IF(C10="",NA(),MATCH($B10&amp;$C10,'Smelter Look-up'!$J:$J,0))</f>
        <v>#N/A</v>
      </c>
      <c r="W10" s="270"/>
      <c r="X10" s="270">
        <f t="shared" ca="1" si="1"/>
        <v>0</v>
      </c>
      <c r="Y10" s="270"/>
      <c r="Z10" s="270"/>
      <c r="AB10" s="272" t="str">
        <f t="shared" si="2"/>
        <v/>
      </c>
    </row>
    <row r="11" spans="1:34" s="271" customFormat="1" ht="20.100000000000001" customHeight="1">
      <c r="A11" s="215"/>
      <c r="B11" s="216" t="str">
        <f>IF(LEN(A11)=0,"",INDEX('Smelter Look-up'!$A:$A,MATCH($A11,'Smelter Look-up'!$E:$E,0)))</f>
        <v/>
      </c>
      <c r="C11" s="220" t="str">
        <f>IF(LEN(A11)=0,"",INDEX('Smelter Look-up'!$C:$C,MATCH($A11,'Smelter Look-up'!$E:$E,0)))</f>
        <v/>
      </c>
      <c r="D11" s="216"/>
      <c r="E11" s="216" t="str">
        <f ca="1">IF(ISERROR($V11),"",OFFSET('Smelter Look-up'!$D$4,$V11-4,0)&amp;"")</f>
        <v/>
      </c>
      <c r="F11" s="216" t="str">
        <f ca="1">IF(ISERROR($V11),"",OFFSET('Smelter Look-up'!$E$4,$V11-4,0))</f>
        <v/>
      </c>
      <c r="G11" s="216" t="str">
        <f ca="1">IF(C11=$X$4,"Enter smelter details", IF(ISERROR($V11),"",OFFSET('Smelter Look-up'!$F$4,$V11-4,0)))</f>
        <v/>
      </c>
      <c r="H11" s="217" t="str">
        <f ca="1">IF(ISERROR($V11),"",OFFSET('Smelter Look-up'!$G$4,$V11-4,0))</f>
        <v/>
      </c>
      <c r="I11" s="218" t="str">
        <f ca="1">IF(ISERROR($V11),"",OFFSET('Smelter Look-up'!$H$4,$V11-4,0))</f>
        <v/>
      </c>
      <c r="J11" s="218" t="str">
        <f ca="1">IF(ISERROR($V11),"",OFFSET('Smelter Look-up'!$I$4,$V11-4,0))</f>
        <v/>
      </c>
      <c r="K11" s="267"/>
      <c r="L11" s="267"/>
      <c r="M11" s="267"/>
      <c r="N11" s="267"/>
      <c r="O11" s="267"/>
      <c r="P11" s="219"/>
      <c r="Q11" s="268"/>
      <c r="R11" s="216" t="str">
        <f ca="1">IF(ISERROR($V11),"",OFFSET('Smelter Look-up'!$C$4,$V11-4,0)&amp;"")</f>
        <v/>
      </c>
      <c r="S11" s="224" t="str">
        <f t="shared" ca="1" si="0"/>
        <v/>
      </c>
      <c r="T11" s="224" t="str">
        <f ca="1">IF(B11="","",IF(ISERROR(MATCH($J11,SorP!$B$1:$B$6230,0)),"",INDIRECT("'SorP'!$A$"&amp;MATCH($J11,SorP!$B$1:$B$6230,0))))</f>
        <v/>
      </c>
      <c r="U11" s="239"/>
      <c r="V11" s="269" t="e">
        <f>IF(C11="",NA(),MATCH($B11&amp;$C11,'Smelter Look-up'!$J:$J,0))</f>
        <v>#N/A</v>
      </c>
      <c r="W11" s="270"/>
      <c r="X11" s="270">
        <f t="shared" ca="1" si="1"/>
        <v>0</v>
      </c>
      <c r="Y11" s="270"/>
      <c r="Z11" s="270"/>
      <c r="AB11" s="272" t="str">
        <f t="shared" si="2"/>
        <v/>
      </c>
    </row>
    <row r="12" spans="1:34" s="271" customFormat="1" ht="20.25">
      <c r="A12" s="215"/>
      <c r="B12" s="216" t="str">
        <f>IF(LEN(A12)=0,"",INDEX('Smelter Look-up'!$A:$A,MATCH($A12,'Smelter Look-up'!$E:$E,0)))</f>
        <v/>
      </c>
      <c r="C12" s="220" t="str">
        <f>IF(LEN(A12)=0,"",INDEX('Smelter Look-up'!$C:$C,MATCH($A12,'Smelter Look-up'!$E:$E,0)))</f>
        <v/>
      </c>
      <c r="D12" s="216"/>
      <c r="E12" s="216" t="str">
        <f ca="1">IF(ISERROR($V12),"",OFFSET('Smelter Look-up'!$D$4,$V12-4,0)&amp;"")</f>
        <v/>
      </c>
      <c r="F12" s="216" t="str">
        <f ca="1">IF(ISERROR($V12),"",OFFSET('Smelter Look-up'!$E$4,$V12-4,0))</f>
        <v/>
      </c>
      <c r="G12" s="216" t="str">
        <f ca="1">IF(C12=$X$4,"Enter smelter details", IF(ISERROR($V12),"",OFFSET('Smelter Look-up'!$F$4,$V12-4,0)))</f>
        <v/>
      </c>
      <c r="H12" s="217" t="str">
        <f ca="1">IF(ISERROR($V12),"",OFFSET('Smelter Look-up'!$G$4,$V12-4,0))</f>
        <v/>
      </c>
      <c r="I12" s="218" t="str">
        <f ca="1">IF(ISERROR($V12),"",OFFSET('Smelter Look-up'!$H$4,$V12-4,0))</f>
        <v/>
      </c>
      <c r="J12" s="218" t="str">
        <f ca="1">IF(ISERROR($V12),"",OFFSET('Smelter Look-up'!$I$4,$V12-4,0))</f>
        <v/>
      </c>
      <c r="K12" s="267"/>
      <c r="L12" s="267"/>
      <c r="M12" s="267"/>
      <c r="N12" s="267"/>
      <c r="O12" s="267"/>
      <c r="P12" s="219"/>
      <c r="Q12" s="268"/>
      <c r="R12" s="216" t="str">
        <f ca="1">IF(ISERROR($V12),"",OFFSET('Smelter Look-up'!$C$4,$V12-4,0)&amp;"")</f>
        <v/>
      </c>
      <c r="S12" s="224" t="str">
        <f t="shared" ca="1" si="0"/>
        <v/>
      </c>
      <c r="T12" s="224" t="str">
        <f ca="1">IF(B12="","",IF(ISERROR(MATCH($J12,SorP!$B$1:$B$6230,0)),"",INDIRECT("'SorP'!$A$"&amp;MATCH($J12,SorP!$B$1:$B$6230,0))))</f>
        <v/>
      </c>
      <c r="U12" s="239"/>
      <c r="V12" s="269" t="e">
        <f>IF(C12="",NA(),MATCH($B12&amp;$C12,'Smelter Look-up'!$J:$J,0))</f>
        <v>#N/A</v>
      </c>
      <c r="W12" s="270"/>
      <c r="X12" s="270">
        <f t="shared" ca="1" si="1"/>
        <v>0</v>
      </c>
      <c r="Y12" s="270"/>
      <c r="Z12" s="270"/>
      <c r="AB12" s="272" t="str">
        <f t="shared" si="2"/>
        <v/>
      </c>
    </row>
    <row r="13" spans="1:34" s="271" customFormat="1" ht="20.25">
      <c r="A13" s="215"/>
      <c r="B13" s="216" t="str">
        <f>IF(LEN(A13)=0,"",INDEX('Smelter Look-up'!$A:$A,MATCH($A13,'Smelter Look-up'!$E:$E,0)))</f>
        <v/>
      </c>
      <c r="C13" s="220" t="str">
        <f>IF(LEN(A13)=0,"",INDEX('Smelter Look-up'!$C:$C,MATCH($A13,'Smelter Look-up'!$E:$E,0)))</f>
        <v/>
      </c>
      <c r="D13" s="216"/>
      <c r="E13" s="216" t="str">
        <f ca="1">IF(ISERROR($V13),"",OFFSET('Smelter Look-up'!$D$4,$V13-4,0)&amp;"")</f>
        <v/>
      </c>
      <c r="F13" s="216" t="str">
        <f ca="1">IF(ISERROR($V13),"",OFFSET('Smelter Look-up'!$E$4,$V13-4,0))</f>
        <v/>
      </c>
      <c r="G13" s="216" t="str">
        <f ca="1">IF(C13=$X$4,"Enter smelter details", IF(ISERROR($V13),"",OFFSET('Smelter Look-up'!$F$4,$V13-4,0)))</f>
        <v/>
      </c>
      <c r="H13" s="217" t="str">
        <f ca="1">IF(ISERROR($V13),"",OFFSET('Smelter Look-up'!$G$4,$V13-4,0))</f>
        <v/>
      </c>
      <c r="I13" s="218" t="str">
        <f ca="1">IF(ISERROR($V13),"",OFFSET('Smelter Look-up'!$H$4,$V13-4,0))</f>
        <v/>
      </c>
      <c r="J13" s="218" t="str">
        <f ca="1">IF(ISERROR($V13),"",OFFSET('Smelter Look-up'!$I$4,$V13-4,0))</f>
        <v/>
      </c>
      <c r="K13" s="267"/>
      <c r="L13" s="267"/>
      <c r="M13" s="267"/>
      <c r="N13" s="267"/>
      <c r="O13" s="267"/>
      <c r="P13" s="219"/>
      <c r="Q13" s="268"/>
      <c r="R13" s="216" t="str">
        <f ca="1">IF(ISERROR($V13),"",OFFSET('Smelter Look-up'!$C$4,$V13-4,0)&amp;"")</f>
        <v/>
      </c>
      <c r="S13" s="224" t="str">
        <f t="shared" ca="1" si="0"/>
        <v/>
      </c>
      <c r="T13" s="224" t="str">
        <f ca="1">IF(B13="","",IF(ISERROR(MATCH($J13,SorP!$B$1:$B$6230,0)),"",INDIRECT("'SorP'!$A$"&amp;MATCH($J13,SorP!$B$1:$B$6230,0))))</f>
        <v/>
      </c>
      <c r="U13" s="239"/>
      <c r="V13" s="269" t="e">
        <f>IF(C13="",NA(),MATCH($B13&amp;$C13,'Smelter Look-up'!$J:$J,0))</f>
        <v>#N/A</v>
      </c>
      <c r="W13" s="270"/>
      <c r="X13" s="270">
        <f t="shared" ca="1" si="1"/>
        <v>0</v>
      </c>
      <c r="Y13" s="270"/>
      <c r="Z13" s="270"/>
      <c r="AB13" s="272" t="str">
        <f t="shared" si="2"/>
        <v/>
      </c>
    </row>
    <row r="14" spans="1:34" s="271" customFormat="1" ht="20.25">
      <c r="A14" s="215"/>
      <c r="B14" s="216" t="str">
        <f>IF(LEN(A14)=0,"",INDEX('Smelter Look-up'!$A:$A,MATCH($A14,'Smelter Look-up'!$E:$E,0)))</f>
        <v/>
      </c>
      <c r="C14" s="220" t="str">
        <f>IF(LEN(A14)=0,"",INDEX('Smelter Look-up'!$C:$C,MATCH($A14,'Smelter Look-up'!$E:$E,0)))</f>
        <v/>
      </c>
      <c r="D14" s="216"/>
      <c r="E14" s="216" t="str">
        <f ca="1">IF(ISERROR($V14),"",OFFSET('Smelter Look-up'!$D$4,$V14-4,0)&amp;"")</f>
        <v/>
      </c>
      <c r="F14" s="216" t="str">
        <f ca="1">IF(ISERROR($V14),"",OFFSET('Smelter Look-up'!$E$4,$V14-4,0))</f>
        <v/>
      </c>
      <c r="G14" s="216" t="str">
        <f ca="1">IF(C14=$X$4,"Enter smelter details", IF(ISERROR($V14),"",OFFSET('Smelter Look-up'!$F$4,$V14-4,0)))</f>
        <v/>
      </c>
      <c r="H14" s="217" t="str">
        <f ca="1">IF(ISERROR($V14),"",OFFSET('Smelter Look-up'!$G$4,$V14-4,0))</f>
        <v/>
      </c>
      <c r="I14" s="218" t="str">
        <f ca="1">IF(ISERROR($V14),"",OFFSET('Smelter Look-up'!$H$4,$V14-4,0))</f>
        <v/>
      </c>
      <c r="J14" s="218" t="str">
        <f ca="1">IF(ISERROR($V14),"",OFFSET('Smelter Look-up'!$I$4,$V14-4,0))</f>
        <v/>
      </c>
      <c r="K14" s="267"/>
      <c r="L14" s="267"/>
      <c r="M14" s="267"/>
      <c r="N14" s="267"/>
      <c r="O14" s="267"/>
      <c r="P14" s="219"/>
      <c r="Q14" s="268"/>
      <c r="R14" s="216" t="str">
        <f ca="1">IF(ISERROR($V14),"",OFFSET('Smelter Look-up'!$C$4,$V14-4,0)&amp;"")</f>
        <v/>
      </c>
      <c r="S14" s="224" t="str">
        <f t="shared" ca="1" si="0"/>
        <v/>
      </c>
      <c r="T14" s="224" t="str">
        <f ca="1">IF(B14="","",IF(ISERROR(MATCH($J14,SorP!$B$1:$B$6230,0)),"",INDIRECT("'SorP'!$A$"&amp;MATCH($J14,SorP!$B$1:$B$6230,0))))</f>
        <v/>
      </c>
      <c r="U14" s="239"/>
      <c r="V14" s="269" t="e">
        <f>IF(C14="",NA(),MATCH($B14&amp;$C14,'Smelter Look-up'!$J:$J,0))</f>
        <v>#N/A</v>
      </c>
      <c r="W14" s="270"/>
      <c r="X14" s="270">
        <f t="shared" ca="1" si="1"/>
        <v>0</v>
      </c>
      <c r="Y14" s="270"/>
      <c r="Z14" s="270"/>
      <c r="AB14" s="272" t="str">
        <f t="shared" si="2"/>
        <v/>
      </c>
    </row>
    <row r="15" spans="1:34" s="271" customFormat="1" ht="20.25">
      <c r="A15" s="215"/>
      <c r="B15" s="216" t="str">
        <f>IF(LEN(A15)=0,"",INDEX('Smelter Look-up'!$A:$A,MATCH($A15,'Smelter Look-up'!$E:$E,0)))</f>
        <v/>
      </c>
      <c r="C15" s="220" t="str">
        <f>IF(LEN(A15)=0,"",INDEX('Smelter Look-up'!$C:$C,MATCH($A15,'Smelter Look-up'!$E:$E,0)))</f>
        <v/>
      </c>
      <c r="D15" s="216"/>
      <c r="E15" s="216" t="str">
        <f ca="1">IF(ISERROR($V15),"",OFFSET('Smelter Look-up'!$D$4,$V15-4,0)&amp;"")</f>
        <v/>
      </c>
      <c r="F15" s="216" t="str">
        <f ca="1">IF(ISERROR($V15),"",OFFSET('Smelter Look-up'!$E$4,$V15-4,0))</f>
        <v/>
      </c>
      <c r="G15" s="216" t="str">
        <f ca="1">IF(C15=$X$4,"Enter smelter details", IF(ISERROR($V15),"",OFFSET('Smelter Look-up'!$F$4,$V15-4,0)))</f>
        <v/>
      </c>
      <c r="H15" s="217" t="str">
        <f ca="1">IF(ISERROR($V15),"",OFFSET('Smelter Look-up'!$G$4,$V15-4,0))</f>
        <v/>
      </c>
      <c r="I15" s="218" t="str">
        <f ca="1">IF(ISERROR($V15),"",OFFSET('Smelter Look-up'!$H$4,$V15-4,0))</f>
        <v/>
      </c>
      <c r="J15" s="218" t="str">
        <f ca="1">IF(ISERROR($V15),"",OFFSET('Smelter Look-up'!$I$4,$V15-4,0))</f>
        <v/>
      </c>
      <c r="K15" s="267"/>
      <c r="L15" s="267"/>
      <c r="M15" s="267"/>
      <c r="N15" s="267"/>
      <c r="O15" s="267"/>
      <c r="P15" s="219"/>
      <c r="Q15" s="268"/>
      <c r="R15" s="216" t="str">
        <f ca="1">IF(ISERROR($V15),"",OFFSET('Smelter Look-up'!$C$4,$V15-4,0)&amp;"")</f>
        <v/>
      </c>
      <c r="S15" s="224" t="str">
        <f t="shared" ca="1" si="0"/>
        <v/>
      </c>
      <c r="T15" s="224" t="str">
        <f ca="1">IF(B15="","",IF(ISERROR(MATCH($J15,SorP!$B$1:$B$6230,0)),"",INDIRECT("'SorP'!$A$"&amp;MATCH($J15,SorP!$B$1:$B$6230,0))))</f>
        <v/>
      </c>
      <c r="U15" s="239"/>
      <c r="V15" s="269" t="e">
        <f>IF(C15="",NA(),MATCH($B15&amp;$C15,'Smelter Look-up'!$J:$J,0))</f>
        <v>#N/A</v>
      </c>
      <c r="W15" s="270"/>
      <c r="X15" s="270">
        <f t="shared" ca="1" si="1"/>
        <v>0</v>
      </c>
      <c r="Y15" s="270"/>
      <c r="Z15" s="270"/>
      <c r="AB15" s="272" t="str">
        <f t="shared" si="2"/>
        <v/>
      </c>
    </row>
    <row r="16" spans="1:34" s="271" customFormat="1" ht="20.25">
      <c r="A16" s="215"/>
      <c r="B16" s="216" t="str">
        <f>IF(LEN(A16)=0,"",INDEX('Smelter Look-up'!$A:$A,MATCH($A16,'Smelter Look-up'!$E:$E,0)))</f>
        <v/>
      </c>
      <c r="C16" s="220" t="str">
        <f>IF(LEN(A16)=0,"",INDEX('Smelter Look-up'!$C:$C,MATCH($A16,'Smelter Look-up'!$E:$E,0)))</f>
        <v/>
      </c>
      <c r="D16" s="216"/>
      <c r="E16" s="216" t="str">
        <f ca="1">IF(ISERROR($V16),"",OFFSET('Smelter Look-up'!$D$4,$V16-4,0)&amp;"")</f>
        <v/>
      </c>
      <c r="F16" s="216" t="str">
        <f ca="1">IF(ISERROR($V16),"",OFFSET('Smelter Look-up'!$E$4,$V16-4,0))</f>
        <v/>
      </c>
      <c r="G16" s="216" t="str">
        <f ca="1">IF(C16=$X$4,"Enter smelter details", IF(ISERROR($V16),"",OFFSET('Smelter Look-up'!$F$4,$V16-4,0)))</f>
        <v/>
      </c>
      <c r="H16" s="217" t="str">
        <f ca="1">IF(ISERROR($V16),"",OFFSET('Smelter Look-up'!$G$4,$V16-4,0))</f>
        <v/>
      </c>
      <c r="I16" s="218" t="str">
        <f ca="1">IF(ISERROR($V16),"",OFFSET('Smelter Look-up'!$H$4,$V16-4,0))</f>
        <v/>
      </c>
      <c r="J16" s="218" t="str">
        <f ca="1">IF(ISERROR($V16),"",OFFSET('Smelter Look-up'!$I$4,$V16-4,0))</f>
        <v/>
      </c>
      <c r="K16" s="267"/>
      <c r="L16" s="267"/>
      <c r="M16" s="267"/>
      <c r="N16" s="267"/>
      <c r="O16" s="267"/>
      <c r="P16" s="219"/>
      <c r="Q16" s="268"/>
      <c r="R16" s="216" t="str">
        <f ca="1">IF(ISERROR($V16),"",OFFSET('Smelter Look-up'!$C$4,$V16-4,0)&amp;"")</f>
        <v/>
      </c>
      <c r="S16" s="224" t="str">
        <f t="shared" ca="1" si="0"/>
        <v/>
      </c>
      <c r="T16" s="224" t="str">
        <f ca="1">IF(B16="","",IF(ISERROR(MATCH($J16,SorP!$B$1:$B$6230,0)),"",INDIRECT("'SorP'!$A$"&amp;MATCH($J16,SorP!$B$1:$B$6230,0))))</f>
        <v/>
      </c>
      <c r="U16" s="239"/>
      <c r="V16" s="269" t="e">
        <f>IF(C16="",NA(),MATCH($B16&amp;$C16,'Smelter Look-up'!$J:$J,0))</f>
        <v>#N/A</v>
      </c>
      <c r="W16" s="270"/>
      <c r="X16" s="270">
        <f t="shared" ca="1" si="1"/>
        <v>0</v>
      </c>
      <c r="Y16" s="270"/>
      <c r="Z16" s="270"/>
      <c r="AB16" s="272" t="str">
        <f t="shared" si="2"/>
        <v/>
      </c>
    </row>
    <row r="17" spans="1:28" s="271" customFormat="1" ht="20.25">
      <c r="A17" s="215"/>
      <c r="B17" s="216" t="str">
        <f>IF(LEN(A17)=0,"",INDEX('Smelter Look-up'!$A:$A,MATCH($A17,'Smelter Look-up'!$E:$E,0)))</f>
        <v/>
      </c>
      <c r="C17" s="220" t="str">
        <f>IF(LEN(A17)=0,"",INDEX('Smelter Look-up'!$C:$C,MATCH($A17,'Smelter Look-up'!$E:$E,0)))</f>
        <v/>
      </c>
      <c r="D17" s="216"/>
      <c r="E17" s="216" t="str">
        <f ca="1">IF(ISERROR($V17),"",OFFSET('Smelter Look-up'!$D$4,$V17-4,0)&amp;"")</f>
        <v/>
      </c>
      <c r="F17" s="216" t="str">
        <f ca="1">IF(ISERROR($V17),"",OFFSET('Smelter Look-up'!$E$4,$V17-4,0))</f>
        <v/>
      </c>
      <c r="G17" s="216" t="str">
        <f ca="1">IF(C17=$X$4,"Enter smelter details", IF(ISERROR($V17),"",OFFSET('Smelter Look-up'!$F$4,$V17-4,0)))</f>
        <v/>
      </c>
      <c r="H17" s="217" t="str">
        <f ca="1">IF(ISERROR($V17),"",OFFSET('Smelter Look-up'!$G$4,$V17-4,0))</f>
        <v/>
      </c>
      <c r="I17" s="218" t="str">
        <f ca="1">IF(ISERROR($V17),"",OFFSET('Smelter Look-up'!$H$4,$V17-4,0))</f>
        <v/>
      </c>
      <c r="J17" s="218" t="str">
        <f ca="1">IF(ISERROR($V17),"",OFFSET('Smelter Look-up'!$I$4,$V17-4,0))</f>
        <v/>
      </c>
      <c r="K17" s="267"/>
      <c r="L17" s="267"/>
      <c r="M17" s="267"/>
      <c r="N17" s="267"/>
      <c r="O17" s="267"/>
      <c r="P17" s="219"/>
      <c r="Q17" s="268"/>
      <c r="R17" s="216" t="str">
        <f ca="1">IF(ISERROR($V17),"",OFFSET('Smelter Look-up'!$C$4,$V17-4,0)&amp;"")</f>
        <v/>
      </c>
      <c r="S17" s="224" t="str">
        <f t="shared" ca="1" si="0"/>
        <v/>
      </c>
      <c r="T17" s="224" t="str">
        <f ca="1">IF(B17="","",IF(ISERROR(MATCH($J17,SorP!$B$1:$B$6230,0)),"",INDIRECT("'SorP'!$A$"&amp;MATCH($J17,SorP!$B$1:$B$6230,0))))</f>
        <v/>
      </c>
      <c r="U17" s="239"/>
      <c r="V17" s="269" t="e">
        <f>IF(C17="",NA(),MATCH($B17&amp;$C17,'Smelter Look-up'!$J:$J,0))</f>
        <v>#N/A</v>
      </c>
      <c r="W17" s="270"/>
      <c r="X17" s="270">
        <f t="shared" ca="1" si="1"/>
        <v>0</v>
      </c>
      <c r="Y17" s="270"/>
      <c r="Z17" s="270"/>
      <c r="AB17" s="272" t="str">
        <f t="shared" si="2"/>
        <v/>
      </c>
    </row>
    <row r="18" spans="1:28" s="271" customFormat="1" ht="20.25">
      <c r="A18" s="215"/>
      <c r="B18" s="216" t="str">
        <f>IF(LEN(A18)=0,"",INDEX('Smelter Look-up'!$A:$A,MATCH($A18,'Smelter Look-up'!$E:$E,0)))</f>
        <v/>
      </c>
      <c r="C18" s="220" t="str">
        <f>IF(LEN(A18)=0,"",INDEX('Smelter Look-up'!$C:$C,MATCH($A18,'Smelter Look-up'!$E:$E,0)))</f>
        <v/>
      </c>
      <c r="D18" s="216"/>
      <c r="E18" s="216" t="str">
        <f ca="1">IF(ISERROR($V18),"",OFFSET('Smelter Look-up'!$D$4,$V18-4,0)&amp;"")</f>
        <v/>
      </c>
      <c r="F18" s="216" t="str">
        <f ca="1">IF(ISERROR($V18),"",OFFSET('Smelter Look-up'!$E$4,$V18-4,0))</f>
        <v/>
      </c>
      <c r="G18" s="216" t="str">
        <f ca="1">IF(C18=$X$4,"Enter smelter details", IF(ISERROR($V18),"",OFFSET('Smelter Look-up'!$F$4,$V18-4,0)))</f>
        <v/>
      </c>
      <c r="H18" s="217" t="str">
        <f ca="1">IF(ISERROR($V18),"",OFFSET('Smelter Look-up'!$G$4,$V18-4,0))</f>
        <v/>
      </c>
      <c r="I18" s="218" t="str">
        <f ca="1">IF(ISERROR($V18),"",OFFSET('Smelter Look-up'!$H$4,$V18-4,0))</f>
        <v/>
      </c>
      <c r="J18" s="218" t="str">
        <f ca="1">IF(ISERROR($V18),"",OFFSET('Smelter Look-up'!$I$4,$V18-4,0))</f>
        <v/>
      </c>
      <c r="K18" s="267"/>
      <c r="L18" s="267"/>
      <c r="M18" s="267"/>
      <c r="N18" s="267"/>
      <c r="O18" s="267"/>
      <c r="P18" s="219"/>
      <c r="Q18" s="268"/>
      <c r="R18" s="216" t="str">
        <f ca="1">IF(ISERROR($V18),"",OFFSET('Smelter Look-up'!$C$4,$V18-4,0)&amp;"")</f>
        <v/>
      </c>
      <c r="S18" s="224" t="str">
        <f t="shared" ca="1" si="0"/>
        <v/>
      </c>
      <c r="T18" s="224" t="str">
        <f ca="1">IF(B18="","",IF(ISERROR(MATCH($J18,SorP!$B$1:$B$6230,0)),"",INDIRECT("'SorP'!$A$"&amp;MATCH($J18,SorP!$B$1:$B$6230,0))))</f>
        <v/>
      </c>
      <c r="U18" s="239"/>
      <c r="V18" s="269" t="e">
        <f>IF(C18="",NA(),MATCH($B18&amp;$C18,'Smelter Look-up'!$J:$J,0))</f>
        <v>#N/A</v>
      </c>
      <c r="W18" s="270"/>
      <c r="X18" s="270">
        <f t="shared" ca="1" si="1"/>
        <v>0</v>
      </c>
      <c r="Y18" s="270"/>
      <c r="Z18" s="270"/>
      <c r="AB18" s="272" t="str">
        <f t="shared" si="2"/>
        <v/>
      </c>
    </row>
    <row r="19" spans="1:28" s="271" customFormat="1" ht="20.25">
      <c r="A19" s="215"/>
      <c r="B19" s="216" t="str">
        <f>IF(LEN(A19)=0,"",INDEX('Smelter Look-up'!$A:$A,MATCH($A19,'Smelter Look-up'!$E:$E,0)))</f>
        <v/>
      </c>
      <c r="C19" s="220" t="str">
        <f>IF(LEN(A19)=0,"",INDEX('Smelter Look-up'!$C:$C,MATCH($A19,'Smelter Look-up'!$E:$E,0)))</f>
        <v/>
      </c>
      <c r="D19" s="216"/>
      <c r="E19" s="216" t="str">
        <f ca="1">IF(ISERROR($V19),"",OFFSET('Smelter Look-up'!$D$4,$V19-4,0)&amp;"")</f>
        <v/>
      </c>
      <c r="F19" s="216" t="str">
        <f ca="1">IF(ISERROR($V19),"",OFFSET('Smelter Look-up'!$E$4,$V19-4,0))</f>
        <v/>
      </c>
      <c r="G19" s="216" t="str">
        <f ca="1">IF(C19=$X$4,"Enter smelter details", IF(ISERROR($V19),"",OFFSET('Smelter Look-up'!$F$4,$V19-4,0)))</f>
        <v/>
      </c>
      <c r="H19" s="217" t="str">
        <f ca="1">IF(ISERROR($V19),"",OFFSET('Smelter Look-up'!$G$4,$V19-4,0))</f>
        <v/>
      </c>
      <c r="I19" s="218" t="str">
        <f ca="1">IF(ISERROR($V19),"",OFFSET('Smelter Look-up'!$H$4,$V19-4,0))</f>
        <v/>
      </c>
      <c r="J19" s="218" t="str">
        <f ca="1">IF(ISERROR($V19),"",OFFSET('Smelter Look-up'!$I$4,$V19-4,0))</f>
        <v/>
      </c>
      <c r="K19" s="267"/>
      <c r="L19" s="267"/>
      <c r="M19" s="267"/>
      <c r="N19" s="267"/>
      <c r="O19" s="267"/>
      <c r="P19" s="219"/>
      <c r="Q19" s="268"/>
      <c r="R19" s="216" t="str">
        <f ca="1">IF(ISERROR($V19),"",OFFSET('Smelter Look-up'!$C$4,$V19-4,0)&amp;"")</f>
        <v/>
      </c>
      <c r="S19" s="224" t="str">
        <f t="shared" ca="1" si="0"/>
        <v/>
      </c>
      <c r="T19" s="224" t="str">
        <f ca="1">IF(B19="","",IF(ISERROR(MATCH($J19,SorP!$B$1:$B$6230,0)),"",INDIRECT("'SorP'!$A$"&amp;MATCH($J19,SorP!$B$1:$B$6230,0))))</f>
        <v/>
      </c>
      <c r="U19" s="239"/>
      <c r="V19" s="269" t="e">
        <f>IF(C19="",NA(),MATCH($B19&amp;$C19,'Smelter Look-up'!$J:$J,0))</f>
        <v>#N/A</v>
      </c>
      <c r="W19" s="270"/>
      <c r="X19" s="270">
        <f t="shared" ca="1" si="1"/>
        <v>0</v>
      </c>
      <c r="Y19" s="270"/>
      <c r="Z19" s="270"/>
      <c r="AB19" s="272" t="str">
        <f t="shared" si="2"/>
        <v/>
      </c>
    </row>
    <row r="20" spans="1:28" s="271" customFormat="1" ht="20.25">
      <c r="A20" s="215"/>
      <c r="B20" s="216" t="str">
        <f>IF(LEN(A20)=0,"",INDEX('Smelter Look-up'!$A:$A,MATCH($A20,'Smelter Look-up'!$E:$E,0)))</f>
        <v/>
      </c>
      <c r="C20" s="220" t="str">
        <f>IF(LEN(A20)=0,"",INDEX('Smelter Look-up'!$C:$C,MATCH($A20,'Smelter Look-up'!$E:$E,0)))</f>
        <v/>
      </c>
      <c r="D20" s="216"/>
      <c r="E20" s="216" t="str">
        <f ca="1">IF(ISERROR($V20),"",OFFSET('Smelter Look-up'!$D$4,$V20-4,0)&amp;"")</f>
        <v/>
      </c>
      <c r="F20" s="216" t="str">
        <f ca="1">IF(ISERROR($V20),"",OFFSET('Smelter Look-up'!$E$4,$V20-4,0))</f>
        <v/>
      </c>
      <c r="G20" s="216" t="str">
        <f ca="1">IF(C20=$X$4,"Enter smelter details", IF(ISERROR($V20),"",OFFSET('Smelter Look-up'!$F$4,$V20-4,0)))</f>
        <v/>
      </c>
      <c r="H20" s="217" t="str">
        <f ca="1">IF(ISERROR($V20),"",OFFSET('Smelter Look-up'!$G$4,$V20-4,0))</f>
        <v/>
      </c>
      <c r="I20" s="218" t="str">
        <f ca="1">IF(ISERROR($V20),"",OFFSET('Smelter Look-up'!$H$4,$V20-4,0))</f>
        <v/>
      </c>
      <c r="J20" s="218" t="str">
        <f ca="1">IF(ISERROR($V20),"",OFFSET('Smelter Look-up'!$I$4,$V20-4,0))</f>
        <v/>
      </c>
      <c r="K20" s="267"/>
      <c r="L20" s="267"/>
      <c r="M20" s="267"/>
      <c r="N20" s="267"/>
      <c r="O20" s="267"/>
      <c r="P20" s="219"/>
      <c r="Q20" s="268"/>
      <c r="R20" s="216" t="str">
        <f ca="1">IF(ISERROR($V20),"",OFFSET('Smelter Look-up'!$C$4,$V20-4,0)&amp;"")</f>
        <v/>
      </c>
      <c r="S20" s="224" t="str">
        <f t="shared" ca="1" si="0"/>
        <v/>
      </c>
      <c r="T20" s="224" t="str">
        <f ca="1">IF(B20="","",IF(ISERROR(MATCH($J20,SorP!$B$1:$B$6230,0)),"",INDIRECT("'SorP'!$A$"&amp;MATCH($J20,SorP!$B$1:$B$6230,0))))</f>
        <v/>
      </c>
      <c r="U20" s="239"/>
      <c r="V20" s="269" t="e">
        <f>IF(C20="",NA(),MATCH($B20&amp;$C20,'Smelter Look-up'!$J:$J,0))</f>
        <v>#N/A</v>
      </c>
      <c r="W20" s="270"/>
      <c r="X20" s="270">
        <f t="shared" ca="1" si="1"/>
        <v>0</v>
      </c>
      <c r="Y20" s="270"/>
      <c r="Z20" s="270"/>
      <c r="AB20" s="272" t="str">
        <f t="shared" si="2"/>
        <v/>
      </c>
    </row>
    <row r="21" spans="1:28" s="271" customFormat="1" ht="20.25">
      <c r="A21" s="215"/>
      <c r="B21" s="216" t="str">
        <f>IF(LEN(A21)=0,"",INDEX('Smelter Look-up'!$A:$A,MATCH($A21,'Smelter Look-up'!$E:$E,0)))</f>
        <v/>
      </c>
      <c r="C21" s="220" t="str">
        <f>IF(LEN(A21)=0,"",INDEX('Smelter Look-up'!$C:$C,MATCH($A21,'Smelter Look-up'!$E:$E,0)))</f>
        <v/>
      </c>
      <c r="D21" s="216"/>
      <c r="E21" s="216" t="str">
        <f ca="1">IF(ISERROR($V21),"",OFFSET('Smelter Look-up'!$D$4,$V21-4,0)&amp;"")</f>
        <v/>
      </c>
      <c r="F21" s="216" t="str">
        <f ca="1">IF(ISERROR($V21),"",OFFSET('Smelter Look-up'!$E$4,$V21-4,0))</f>
        <v/>
      </c>
      <c r="G21" s="216" t="str">
        <f ca="1">IF(C21=$X$4,"Enter smelter details", IF(ISERROR($V21),"",OFFSET('Smelter Look-up'!$F$4,$V21-4,0)))</f>
        <v/>
      </c>
      <c r="H21" s="217" t="str">
        <f ca="1">IF(ISERROR($V21),"",OFFSET('Smelter Look-up'!$G$4,$V21-4,0))</f>
        <v/>
      </c>
      <c r="I21" s="218" t="str">
        <f ca="1">IF(ISERROR($V21),"",OFFSET('Smelter Look-up'!$H$4,$V21-4,0))</f>
        <v/>
      </c>
      <c r="J21" s="218" t="str">
        <f ca="1">IF(ISERROR($V21),"",OFFSET('Smelter Look-up'!$I$4,$V21-4,0))</f>
        <v/>
      </c>
      <c r="K21" s="267"/>
      <c r="L21" s="267"/>
      <c r="M21" s="267"/>
      <c r="N21" s="267"/>
      <c r="O21" s="267"/>
      <c r="P21" s="219"/>
      <c r="Q21" s="268"/>
      <c r="R21" s="216" t="str">
        <f ca="1">IF(ISERROR($V21),"",OFFSET('Smelter Look-up'!$C$4,$V21-4,0)&amp;"")</f>
        <v/>
      </c>
      <c r="S21" s="224" t="str">
        <f t="shared" ca="1" si="0"/>
        <v/>
      </c>
      <c r="T21" s="224" t="str">
        <f ca="1">IF(B21="","",IF(ISERROR(MATCH($J21,SorP!$B$1:$B$6230,0)),"",INDIRECT("'SorP'!$A$"&amp;MATCH($J21,SorP!$B$1:$B$6230,0))))</f>
        <v/>
      </c>
      <c r="U21" s="239"/>
      <c r="V21" s="269" t="e">
        <f>IF(C21="",NA(),MATCH($B21&amp;$C21,'Smelter Look-up'!$J:$J,0))</f>
        <v>#N/A</v>
      </c>
      <c r="W21" s="270"/>
      <c r="X21" s="270">
        <f t="shared" ca="1" si="1"/>
        <v>0</v>
      </c>
      <c r="Y21" s="270"/>
      <c r="Z21" s="270"/>
      <c r="AB21" s="272" t="str">
        <f t="shared" si="2"/>
        <v/>
      </c>
    </row>
    <row r="22" spans="1:28" s="271" customFormat="1" ht="20.25">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7"/>
      <c r="L22" s="267"/>
      <c r="M22" s="267"/>
      <c r="N22" s="267"/>
      <c r="O22" s="267"/>
      <c r="P22" s="219"/>
      <c r="Q22" s="268"/>
      <c r="R22" s="216" t="str">
        <f ca="1">IF(ISERROR($V22),"",OFFSET('Smelter Look-up'!$C$4,$V22-4,0)&amp;"")</f>
        <v/>
      </c>
      <c r="S22" s="224" t="str">
        <f t="shared" ca="1" si="0"/>
        <v/>
      </c>
      <c r="T22" s="224" t="str">
        <f ca="1">IF(B22="","",IF(ISERROR(MATCH($J22,SorP!$B$1:$B$6230,0)),"",INDIRECT("'SorP'!$A$"&amp;MATCH($J22,SorP!$B$1:$B$6230,0))))</f>
        <v/>
      </c>
      <c r="U22" s="239"/>
      <c r="V22" s="269" t="e">
        <f>IF(C22="",NA(),MATCH($B22&amp;$C22,'Smelter Look-up'!$J:$J,0))</f>
        <v>#N/A</v>
      </c>
      <c r="W22" s="270"/>
      <c r="X22" s="270">
        <f t="shared" ca="1" si="1"/>
        <v>0</v>
      </c>
      <c r="Y22" s="270"/>
      <c r="Z22" s="270"/>
      <c r="AB22" s="272" t="str">
        <f t="shared" si="2"/>
        <v/>
      </c>
    </row>
    <row r="23" spans="1:28" s="271" customFormat="1" ht="20.25">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0"/>
        <v/>
      </c>
      <c r="T23" s="224" t="str">
        <f ca="1">IF(B23="","",IF(ISERROR(MATCH($J23,SorP!$B$1:$B$6230,0)),"",INDIRECT("'SorP'!$A$"&amp;MATCH($J23,SorP!$B$1:$B$6230,0))))</f>
        <v/>
      </c>
      <c r="U23" s="239"/>
      <c r="V23" s="269" t="e">
        <f>IF(C23="",NA(),MATCH($B23&amp;$C23,'Smelter Look-up'!$J:$J,0))</f>
        <v>#N/A</v>
      </c>
      <c r="W23" s="270"/>
      <c r="X23" s="270">
        <f t="shared" ca="1" si="1"/>
        <v>0</v>
      </c>
      <c r="Y23" s="270"/>
      <c r="Z23" s="270"/>
      <c r="AB23" s="272" t="str">
        <f t="shared" si="2"/>
        <v/>
      </c>
    </row>
    <row r="24" spans="1:28" s="271" customFormat="1" ht="20.25">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0"/>
        <v/>
      </c>
      <c r="T24" s="224" t="str">
        <f ca="1">IF(B24="","",IF(ISERROR(MATCH($J24,SorP!$B$1:$B$6230,0)),"",INDIRECT("'SorP'!$A$"&amp;MATCH($J24,SorP!$B$1:$B$6230,0))))</f>
        <v/>
      </c>
      <c r="U24" s="239"/>
      <c r="V24" s="269" t="e">
        <f>IF(C24="",NA(),MATCH($B24&amp;$C24,'Smelter Look-up'!$J:$J,0))</f>
        <v>#N/A</v>
      </c>
      <c r="W24" s="270"/>
      <c r="X24" s="270">
        <f t="shared" ca="1" si="1"/>
        <v>0</v>
      </c>
      <c r="Y24" s="270"/>
      <c r="Z24" s="270"/>
      <c r="AB24" s="272" t="str">
        <f t="shared" si="2"/>
        <v/>
      </c>
    </row>
    <row r="25" spans="1:28" s="271" customFormat="1" ht="20.25">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0"/>
        <v/>
      </c>
      <c r="T25" s="224" t="str">
        <f ca="1">IF(B25="","",IF(ISERROR(MATCH($J25,SorP!$B$1:$B$6230,0)),"",INDIRECT("'SorP'!$A$"&amp;MATCH($J25,SorP!$B$1:$B$6230,0))))</f>
        <v/>
      </c>
      <c r="U25" s="239"/>
      <c r="V25" s="269" t="e">
        <f>IF(C25="",NA(),MATCH($B25&amp;$C25,'Smelter Look-up'!$J:$J,0))</f>
        <v>#N/A</v>
      </c>
      <c r="W25" s="270"/>
      <c r="X25" s="270">
        <f t="shared" ca="1" si="1"/>
        <v>0</v>
      </c>
      <c r="Y25" s="270"/>
      <c r="Z25" s="270"/>
      <c r="AB25" s="272" t="str">
        <f t="shared" si="2"/>
        <v/>
      </c>
    </row>
    <row r="26" spans="1:28" s="271" customFormat="1" ht="20.25">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0"/>
        <v/>
      </c>
      <c r="T26" s="224" t="str">
        <f ca="1">IF(B26="","",IF(ISERROR(MATCH($J26,SorP!$B$1:$B$6230,0)),"",INDIRECT("'SorP'!$A$"&amp;MATCH($J26,SorP!$B$1:$B$6230,0))))</f>
        <v/>
      </c>
      <c r="U26" s="239"/>
      <c r="V26" s="269" t="e">
        <f>IF(C26="",NA(),MATCH($B26&amp;$C26,'Smelter Look-up'!$J:$J,0))</f>
        <v>#N/A</v>
      </c>
      <c r="W26" s="270"/>
      <c r="X26" s="270">
        <f t="shared" ca="1" si="1"/>
        <v>0</v>
      </c>
      <c r="Y26" s="270"/>
      <c r="Z26" s="270"/>
      <c r="AB26" s="272" t="str">
        <f t="shared" si="2"/>
        <v/>
      </c>
    </row>
    <row r="27" spans="1:28" s="271" customFormat="1" ht="20.25">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0"/>
        <v/>
      </c>
      <c r="T27" s="224" t="str">
        <f ca="1">IF(B27="","",IF(ISERROR(MATCH($J27,SorP!$B$1:$B$6230,0)),"",INDIRECT("'SorP'!$A$"&amp;MATCH($J27,SorP!$B$1:$B$6230,0))))</f>
        <v/>
      </c>
      <c r="U27" s="239"/>
      <c r="V27" s="269" t="e">
        <f>IF(C27="",NA(),MATCH($B27&amp;$C27,'Smelter Look-up'!$J:$J,0))</f>
        <v>#N/A</v>
      </c>
      <c r="W27" s="270"/>
      <c r="X27" s="270">
        <f t="shared" ca="1" si="1"/>
        <v>0</v>
      </c>
      <c r="Y27" s="270"/>
      <c r="Z27" s="270"/>
      <c r="AB27" s="272" t="str">
        <f t="shared" si="2"/>
        <v/>
      </c>
    </row>
    <row r="28" spans="1:28" s="271" customFormat="1" ht="20.25">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0"/>
        <v/>
      </c>
      <c r="T28" s="224" t="str">
        <f ca="1">IF(B28="","",IF(ISERROR(MATCH($J28,SorP!$B$1:$B$6230,0)),"",INDIRECT("'SorP'!$A$"&amp;MATCH($J28,SorP!$B$1:$B$6230,0))))</f>
        <v/>
      </c>
      <c r="U28" s="239"/>
      <c r="V28" s="269" t="e">
        <f>IF(C28="",NA(),MATCH($B28&amp;$C28,'Smelter Look-up'!$J:$J,0))</f>
        <v>#N/A</v>
      </c>
      <c r="W28" s="270"/>
      <c r="X28" s="270">
        <f t="shared" ca="1" si="1"/>
        <v>0</v>
      </c>
      <c r="Y28" s="270"/>
      <c r="Z28" s="270"/>
      <c r="AB28" s="272" t="str">
        <f t="shared" si="2"/>
        <v/>
      </c>
    </row>
    <row r="29" spans="1:28" s="271" customFormat="1" ht="20.25">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0"/>
        <v/>
      </c>
      <c r="T29" s="224" t="str">
        <f ca="1">IF(B29="","",IF(ISERROR(MATCH($J29,SorP!$B$1:$B$6230,0)),"",INDIRECT("'SorP'!$A$"&amp;MATCH($J29,SorP!$B$1:$B$6230,0))))</f>
        <v/>
      </c>
      <c r="U29" s="239"/>
      <c r="V29" s="269" t="e">
        <f>IF(C29="",NA(),MATCH($B29&amp;$C29,'Smelter Look-up'!$J:$J,0))</f>
        <v>#N/A</v>
      </c>
      <c r="W29" s="270"/>
      <c r="X29" s="270">
        <f t="shared" ca="1" si="1"/>
        <v>0</v>
      </c>
      <c r="Y29" s="270"/>
      <c r="Z29" s="270"/>
      <c r="AB29" s="272" t="str">
        <f t="shared" si="2"/>
        <v/>
      </c>
    </row>
    <row r="30" spans="1:28" s="271" customFormat="1" ht="20.25">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0"/>
        <v/>
      </c>
      <c r="T30" s="224" t="str">
        <f ca="1">IF(B30="","",IF(ISERROR(MATCH($J30,SorP!$B$1:$B$6230,0)),"",INDIRECT("'SorP'!$A$"&amp;MATCH($J30,SorP!$B$1:$B$6230,0))))</f>
        <v/>
      </c>
      <c r="U30" s="239"/>
      <c r="V30" s="269" t="e">
        <f>IF(C30="",NA(),MATCH($B30&amp;$C30,'Smelter Look-up'!$J:$J,0))</f>
        <v>#N/A</v>
      </c>
      <c r="W30" s="270"/>
      <c r="X30" s="270">
        <f t="shared" ca="1" si="1"/>
        <v>0</v>
      </c>
      <c r="Y30" s="270"/>
      <c r="Z30" s="270"/>
      <c r="AB30" s="272" t="str">
        <f t="shared" si="2"/>
        <v/>
      </c>
    </row>
    <row r="31" spans="1:28" s="271" customFormat="1" ht="20.25">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0"/>
        <v/>
      </c>
      <c r="T31" s="224" t="str">
        <f ca="1">IF(B31="","",IF(ISERROR(MATCH($J31,SorP!$B$1:$B$6230,0)),"",INDIRECT("'SorP'!$A$"&amp;MATCH($J31,SorP!$B$1:$B$6230,0))))</f>
        <v/>
      </c>
      <c r="U31" s="239"/>
      <c r="V31" s="269" t="e">
        <f>IF(C31="",NA(),MATCH($B31&amp;$C31,'Smelter Look-up'!$J:$J,0))</f>
        <v>#N/A</v>
      </c>
      <c r="W31" s="270"/>
      <c r="X31" s="270">
        <f t="shared" ca="1" si="1"/>
        <v>0</v>
      </c>
      <c r="Y31" s="270"/>
      <c r="Z31" s="270"/>
      <c r="AB31" s="272" t="str">
        <f t="shared" si="2"/>
        <v/>
      </c>
    </row>
    <row r="32" spans="1:28" s="271" customFormat="1" ht="20.25">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0"/>
        <v/>
      </c>
      <c r="T32" s="224" t="str">
        <f ca="1">IF(B32="","",IF(ISERROR(MATCH($J32,SorP!$B$1:$B$6230,0)),"",INDIRECT("'SorP'!$A$"&amp;MATCH($J32,SorP!$B$1:$B$6230,0))))</f>
        <v/>
      </c>
      <c r="U32" s="239"/>
      <c r="V32" s="269" t="e">
        <f>IF(C32="",NA(),MATCH($B32&amp;$C32,'Smelter Look-up'!$J:$J,0))</f>
        <v>#N/A</v>
      </c>
      <c r="W32" s="270"/>
      <c r="X32" s="270">
        <f t="shared" ca="1" si="1"/>
        <v>0</v>
      </c>
      <c r="Y32" s="270"/>
      <c r="Z32" s="270"/>
      <c r="AB32" s="272" t="str">
        <f t="shared" si="2"/>
        <v/>
      </c>
    </row>
    <row r="33" spans="1:28" s="271" customFormat="1" ht="20.25">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0"/>
        <v/>
      </c>
      <c r="T33" s="224" t="str">
        <f ca="1">IF(B33="","",IF(ISERROR(MATCH($J33,SorP!$B$1:$B$6230,0)),"",INDIRECT("'SorP'!$A$"&amp;MATCH($J33,SorP!$B$1:$B$6230,0))))</f>
        <v/>
      </c>
      <c r="U33" s="239"/>
      <c r="V33" s="269" t="e">
        <f>IF(C33="",NA(),MATCH($B33&amp;$C33,'Smelter Look-up'!$J:$J,0))</f>
        <v>#N/A</v>
      </c>
      <c r="W33" s="270"/>
      <c r="X33" s="270">
        <f t="shared" ca="1" si="1"/>
        <v>0</v>
      </c>
      <c r="Y33" s="270"/>
      <c r="Z33" s="270"/>
      <c r="AB33" s="272" t="str">
        <f t="shared" si="2"/>
        <v/>
      </c>
    </row>
    <row r="34" spans="1:28" s="271" customFormat="1" ht="20.25">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0"/>
        <v/>
      </c>
      <c r="T34" s="224" t="str">
        <f ca="1">IF(B34="","",IF(ISERROR(MATCH($J34,SorP!$B$1:$B$6230,0)),"",INDIRECT("'SorP'!$A$"&amp;MATCH($J34,SorP!$B$1:$B$6230,0))))</f>
        <v/>
      </c>
      <c r="U34" s="239"/>
      <c r="V34" s="269" t="e">
        <f>IF(C34="",NA(),MATCH($B34&amp;$C34,'Smelter Look-up'!$J:$J,0))</f>
        <v>#N/A</v>
      </c>
      <c r="W34" s="270"/>
      <c r="X34" s="270">
        <f t="shared" ca="1" si="1"/>
        <v>0</v>
      </c>
      <c r="Y34" s="270"/>
      <c r="Z34" s="270"/>
      <c r="AB34" s="272" t="str">
        <f t="shared" si="2"/>
        <v/>
      </c>
    </row>
    <row r="35" spans="1:28" s="271" customFormat="1" ht="20.25">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0"/>
        <v/>
      </c>
      <c r="T35" s="224" t="str">
        <f ca="1">IF(B35="","",IF(ISERROR(MATCH($J35,SorP!$B$1:$B$6230,0)),"",INDIRECT("'SorP'!$A$"&amp;MATCH($J35,SorP!$B$1:$B$6230,0))))</f>
        <v/>
      </c>
      <c r="U35" s="239"/>
      <c r="V35" s="269" t="e">
        <f>IF(C35="",NA(),MATCH($B35&amp;$C35,'Smelter Look-up'!$J:$J,0))</f>
        <v>#N/A</v>
      </c>
      <c r="W35" s="270"/>
      <c r="X35" s="270">
        <f t="shared" ca="1" si="1"/>
        <v>0</v>
      </c>
      <c r="Y35" s="270"/>
      <c r="Z35" s="270"/>
      <c r="AB35" s="272" t="str">
        <f t="shared" si="2"/>
        <v/>
      </c>
    </row>
    <row r="36" spans="1:28" s="271" customFormat="1" ht="20.25">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0"/>
        <v/>
      </c>
      <c r="T36" s="224" t="str">
        <f ca="1">IF(B36="","",IF(ISERROR(MATCH($J36,SorP!$B$1:$B$6230,0)),"",INDIRECT("'SorP'!$A$"&amp;MATCH($J36,SorP!$B$1:$B$6230,0))))</f>
        <v/>
      </c>
      <c r="U36" s="239"/>
      <c r="V36" s="269" t="e">
        <f>IF(C36="",NA(),MATCH($B36&amp;$C36,'Smelter Look-up'!$J:$J,0))</f>
        <v>#N/A</v>
      </c>
      <c r="W36" s="270"/>
      <c r="X36" s="270">
        <f t="shared" ca="1" si="1"/>
        <v>0</v>
      </c>
      <c r="Y36" s="270"/>
      <c r="Z36" s="270"/>
      <c r="AB36" s="272" t="str">
        <f t="shared" si="2"/>
        <v/>
      </c>
    </row>
    <row r="37" spans="1:28" s="271" customFormat="1" ht="20.25">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0"/>
        <v/>
      </c>
      <c r="T37" s="224" t="str">
        <f ca="1">IF(B37="","",IF(ISERROR(MATCH($J37,SorP!$B$1:$B$6230,0)),"",INDIRECT("'SorP'!$A$"&amp;MATCH($J37,SorP!$B$1:$B$6230,0))))</f>
        <v/>
      </c>
      <c r="U37" s="239"/>
      <c r="V37" s="269" t="e">
        <f>IF(C37="",NA(),MATCH($B37&amp;$C37,'Smelter Look-up'!$J:$J,0))</f>
        <v>#N/A</v>
      </c>
      <c r="W37" s="270"/>
      <c r="X37" s="270">
        <f t="shared" ca="1" si="1"/>
        <v>0</v>
      </c>
      <c r="Y37" s="270"/>
      <c r="Z37" s="270"/>
      <c r="AB37" s="272" t="str">
        <f t="shared" si="2"/>
        <v/>
      </c>
    </row>
    <row r="38" spans="1:28" s="271" customFormat="1" ht="20.25">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0"/>
        <v/>
      </c>
      <c r="T38" s="224" t="str">
        <f ca="1">IF(B38="","",IF(ISERROR(MATCH($J38,SorP!$B$1:$B$6230,0)),"",INDIRECT("'SorP'!$A$"&amp;MATCH($J38,SorP!$B$1:$B$6230,0))))</f>
        <v/>
      </c>
      <c r="U38" s="239"/>
      <c r="V38" s="269" t="e">
        <f>IF(C38="",NA(),MATCH($B38&amp;$C38,'Smelter Look-up'!$J:$J,0))</f>
        <v>#N/A</v>
      </c>
      <c r="W38" s="270"/>
      <c r="X38" s="270">
        <f t="shared" ca="1" si="1"/>
        <v>0</v>
      </c>
      <c r="Y38" s="270"/>
      <c r="Z38" s="270"/>
      <c r="AB38" s="272" t="str">
        <f t="shared" si="2"/>
        <v/>
      </c>
    </row>
    <row r="39" spans="1:28" s="271" customFormat="1" ht="20.25">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0"/>
        <v/>
      </c>
      <c r="T39" s="224" t="str">
        <f ca="1">IF(B39="","",IF(ISERROR(MATCH($J39,SorP!$B$1:$B$6230,0)),"",INDIRECT("'SorP'!$A$"&amp;MATCH($J39,SorP!$B$1:$B$6230,0))))</f>
        <v/>
      </c>
      <c r="U39" s="239"/>
      <c r="V39" s="269" t="e">
        <f>IF(C39="",NA(),MATCH($B39&amp;$C39,'Smelter Look-up'!$J:$J,0))</f>
        <v>#N/A</v>
      </c>
      <c r="W39" s="270"/>
      <c r="X39" s="270">
        <f t="shared" ca="1" si="1"/>
        <v>0</v>
      </c>
      <c r="Y39" s="270"/>
      <c r="Z39" s="270"/>
      <c r="AB39" s="272" t="str">
        <f t="shared" si="2"/>
        <v/>
      </c>
    </row>
    <row r="40" spans="1:28" s="271" customFormat="1" ht="20.25">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0"/>
        <v/>
      </c>
      <c r="T40" s="224" t="str">
        <f ca="1">IF(B40="","",IF(ISERROR(MATCH($J40,SorP!$B$1:$B$6230,0)),"",INDIRECT("'SorP'!$A$"&amp;MATCH($J40,SorP!$B$1:$B$6230,0))))</f>
        <v/>
      </c>
      <c r="U40" s="239"/>
      <c r="V40" s="269" t="e">
        <f>IF(C40="",NA(),MATCH($B40&amp;$C40,'Smelter Look-up'!$J:$J,0))</f>
        <v>#N/A</v>
      </c>
      <c r="W40" s="270"/>
      <c r="X40" s="270">
        <f t="shared" ca="1" si="1"/>
        <v>0</v>
      </c>
      <c r="Y40" s="270"/>
      <c r="Z40" s="270"/>
      <c r="AB40" s="272" t="str">
        <f t="shared" si="2"/>
        <v/>
      </c>
    </row>
    <row r="41" spans="1:28" s="271" customFormat="1" ht="20.25">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0"/>
        <v/>
      </c>
      <c r="T41" s="224" t="str">
        <f ca="1">IF(B41="","",IF(ISERROR(MATCH($J41,SorP!$B$1:$B$6230,0)),"",INDIRECT("'SorP'!$A$"&amp;MATCH($J41,SorP!$B$1:$B$6230,0))))</f>
        <v/>
      </c>
      <c r="U41" s="239"/>
      <c r="V41" s="269" t="e">
        <f>IF(C41="",NA(),MATCH($B41&amp;$C41,'Smelter Look-up'!$J:$J,0))</f>
        <v>#N/A</v>
      </c>
      <c r="W41" s="270"/>
      <c r="X41" s="270">
        <f t="shared" ca="1" si="1"/>
        <v>0</v>
      </c>
      <c r="Y41" s="270"/>
      <c r="Z41" s="270"/>
      <c r="AB41" s="272" t="str">
        <f t="shared" si="2"/>
        <v/>
      </c>
    </row>
    <row r="42" spans="1:28" s="271" customFormat="1" ht="20.25">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0"/>
        <v/>
      </c>
      <c r="T42" s="224" t="str">
        <f ca="1">IF(B42="","",IF(ISERROR(MATCH($J42,SorP!$B$1:$B$6230,0)),"",INDIRECT("'SorP'!$A$"&amp;MATCH($J42,SorP!$B$1:$B$6230,0))))</f>
        <v/>
      </c>
      <c r="U42" s="239"/>
      <c r="V42" s="269" t="e">
        <f>IF(C42="",NA(),MATCH($B42&amp;$C42,'Smelter Look-up'!$J:$J,0))</f>
        <v>#N/A</v>
      </c>
      <c r="W42" s="270"/>
      <c r="X42" s="270">
        <f t="shared" ca="1" si="1"/>
        <v>0</v>
      </c>
      <c r="Y42" s="270"/>
      <c r="Z42" s="270"/>
      <c r="AB42" s="272" t="str">
        <f t="shared" si="2"/>
        <v/>
      </c>
    </row>
    <row r="43" spans="1:28" s="271" customFormat="1" ht="20.25">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0"/>
        <v/>
      </c>
      <c r="T43" s="224" t="str">
        <f ca="1">IF(B43="","",IF(ISERROR(MATCH($J43,SorP!$B$1:$B$6230,0)),"",INDIRECT("'SorP'!$A$"&amp;MATCH($J43,SorP!$B$1:$B$6230,0))))</f>
        <v/>
      </c>
      <c r="U43" s="239"/>
      <c r="V43" s="269" t="e">
        <f>IF(C43="",NA(),MATCH($B43&amp;$C43,'Smelter Look-up'!$J:$J,0))</f>
        <v>#N/A</v>
      </c>
      <c r="W43" s="270"/>
      <c r="X43" s="270">
        <f t="shared" ca="1" si="1"/>
        <v>0</v>
      </c>
      <c r="Y43" s="270"/>
      <c r="Z43" s="270"/>
      <c r="AB43" s="272" t="str">
        <f t="shared" si="2"/>
        <v/>
      </c>
    </row>
    <row r="44" spans="1:28" s="271" customFormat="1" ht="20.25">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0"/>
        <v/>
      </c>
      <c r="T44" s="224" t="str">
        <f ca="1">IF(B44="","",IF(ISERROR(MATCH($J44,SorP!$B$1:$B$6230,0)),"",INDIRECT("'SorP'!$A$"&amp;MATCH($J44,SorP!$B$1:$B$6230,0))))</f>
        <v/>
      </c>
      <c r="U44" s="239"/>
      <c r="V44" s="269" t="e">
        <f>IF(C44="",NA(),MATCH($B44&amp;$C44,'Smelter Look-up'!$J:$J,0))</f>
        <v>#N/A</v>
      </c>
      <c r="W44" s="270"/>
      <c r="X44" s="270">
        <f t="shared" ca="1" si="1"/>
        <v>0</v>
      </c>
      <c r="Y44" s="270"/>
      <c r="Z44" s="270"/>
      <c r="AB44" s="272" t="str">
        <f t="shared" si="2"/>
        <v/>
      </c>
    </row>
    <row r="45" spans="1:28" s="271" customFormat="1" ht="20.25">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0"/>
        <v/>
      </c>
      <c r="T45" s="224" t="str">
        <f ca="1">IF(B45="","",IF(ISERROR(MATCH($J45,SorP!$B$1:$B$6230,0)),"",INDIRECT("'SorP'!$A$"&amp;MATCH($J45,SorP!$B$1:$B$6230,0))))</f>
        <v/>
      </c>
      <c r="U45" s="239"/>
      <c r="V45" s="269" t="e">
        <f>IF(C45="",NA(),MATCH($B45&amp;$C45,'Smelter Look-up'!$J:$J,0))</f>
        <v>#N/A</v>
      </c>
      <c r="W45" s="270"/>
      <c r="X45" s="270">
        <f t="shared" ca="1" si="1"/>
        <v>0</v>
      </c>
      <c r="Y45" s="270"/>
      <c r="Z45" s="270"/>
      <c r="AB45" s="272" t="str">
        <f t="shared" si="2"/>
        <v/>
      </c>
    </row>
    <row r="46" spans="1:28" s="271" customFormat="1" ht="20.25">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0"/>
        <v/>
      </c>
      <c r="T46" s="224" t="str">
        <f ca="1">IF(B46="","",IF(ISERROR(MATCH($J46,SorP!$B$1:$B$6230,0)),"",INDIRECT("'SorP'!$A$"&amp;MATCH($J46,SorP!$B$1:$B$6230,0))))</f>
        <v/>
      </c>
      <c r="U46" s="239"/>
      <c r="V46" s="269" t="e">
        <f>IF(C46="",NA(),MATCH($B46&amp;$C46,'Smelter Look-up'!$J:$J,0))</f>
        <v>#N/A</v>
      </c>
      <c r="W46" s="270"/>
      <c r="X46" s="270">
        <f t="shared" ca="1" si="1"/>
        <v>0</v>
      </c>
      <c r="Y46" s="270"/>
      <c r="Z46" s="270"/>
      <c r="AB46" s="272" t="str">
        <f t="shared" si="2"/>
        <v/>
      </c>
    </row>
    <row r="47" spans="1:28" s="271" customFormat="1" ht="20.25">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0"/>
        <v/>
      </c>
      <c r="T47" s="224" t="str">
        <f ca="1">IF(B47="","",IF(ISERROR(MATCH($J47,SorP!$B$1:$B$6230,0)),"",INDIRECT("'SorP'!$A$"&amp;MATCH($J47,SorP!$B$1:$B$6230,0))))</f>
        <v/>
      </c>
      <c r="U47" s="239"/>
      <c r="V47" s="269" t="e">
        <f>IF(C47="",NA(),MATCH($B47&amp;$C47,'Smelter Look-up'!$J:$J,0))</f>
        <v>#N/A</v>
      </c>
      <c r="W47" s="270"/>
      <c r="X47" s="270">
        <f t="shared" ca="1" si="1"/>
        <v>0</v>
      </c>
      <c r="Y47" s="270"/>
      <c r="Z47" s="270"/>
      <c r="AB47" s="272" t="str">
        <f t="shared" si="2"/>
        <v/>
      </c>
    </row>
    <row r="48" spans="1:28" s="271" customFormat="1" ht="20.25">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0"/>
        <v/>
      </c>
      <c r="T48" s="224" t="str">
        <f ca="1">IF(B48="","",IF(ISERROR(MATCH($J48,SorP!$B$1:$B$6230,0)),"",INDIRECT("'SorP'!$A$"&amp;MATCH($J48,SorP!$B$1:$B$6230,0))))</f>
        <v/>
      </c>
      <c r="U48" s="239"/>
      <c r="V48" s="269" t="e">
        <f>IF(C48="",NA(),MATCH($B48&amp;$C48,'Smelter Look-up'!$J:$J,0))</f>
        <v>#N/A</v>
      </c>
      <c r="W48" s="270"/>
      <c r="X48" s="270">
        <f t="shared" ca="1" si="1"/>
        <v>0</v>
      </c>
      <c r="Y48" s="270"/>
      <c r="Z48" s="270"/>
      <c r="AB48" s="272" t="str">
        <f t="shared" si="2"/>
        <v/>
      </c>
    </row>
    <row r="49" spans="1:28" s="271" customFormat="1" ht="20.25">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0"/>
        <v/>
      </c>
      <c r="T49" s="224" t="str">
        <f ca="1">IF(B49="","",IF(ISERROR(MATCH($J49,SorP!$B$1:$B$6230,0)),"",INDIRECT("'SorP'!$A$"&amp;MATCH($J49,SorP!$B$1:$B$6230,0))))</f>
        <v/>
      </c>
      <c r="U49" s="239"/>
      <c r="V49" s="269" t="e">
        <f>IF(C49="",NA(),MATCH($B49&amp;$C49,'Smelter Look-up'!$J:$J,0))</f>
        <v>#N/A</v>
      </c>
      <c r="W49" s="270"/>
      <c r="X49" s="270">
        <f t="shared" ca="1" si="1"/>
        <v>0</v>
      </c>
      <c r="Y49" s="270"/>
      <c r="Z49" s="270"/>
      <c r="AB49" s="272" t="str">
        <f t="shared" si="2"/>
        <v/>
      </c>
    </row>
    <row r="50" spans="1:28" s="271" customFormat="1" ht="20.25">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0"/>
        <v/>
      </c>
      <c r="T50" s="224" t="str">
        <f ca="1">IF(B50="","",IF(ISERROR(MATCH($J50,SorP!$B$1:$B$6230,0)),"",INDIRECT("'SorP'!$A$"&amp;MATCH($J50,SorP!$B$1:$B$6230,0))))</f>
        <v/>
      </c>
      <c r="U50" s="239"/>
      <c r="V50" s="269" t="e">
        <f>IF(C50="",NA(),MATCH($B50&amp;$C50,'Smelter Look-up'!$J:$J,0))</f>
        <v>#N/A</v>
      </c>
      <c r="W50" s="270"/>
      <c r="X50" s="270">
        <f t="shared" ca="1" si="1"/>
        <v>0</v>
      </c>
      <c r="Y50" s="270"/>
      <c r="Z50" s="270"/>
      <c r="AB50" s="272" t="str">
        <f t="shared" si="2"/>
        <v/>
      </c>
    </row>
    <row r="51" spans="1:28" s="271" customFormat="1" ht="20.25">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25">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25">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25">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25">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25">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25">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25">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25">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25">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25">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25">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25">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25">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25">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25">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25">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2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20.2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2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2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2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2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2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2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2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86:B2493">
    <cfRule type="expression" dxfId="43" priority="28" stopIfTrue="1">
      <formula>IF(B586="",TRUE)</formula>
    </cfRule>
    <cfRule type="expression" dxfId="42" priority="39" stopIfTrue="1">
      <formula>IF(AND(COUNTIF(MetalSmelter,B586&amp;C586)=0,LEN(C586)&gt;0), TRUE, FALSE)</formula>
    </cfRule>
  </conditionalFormatting>
  <conditionalFormatting sqref="D586:D2493">
    <cfRule type="expression" dxfId="41" priority="22" stopIfTrue="1">
      <formula>IF(AND(LEN($C586) &gt;0, ($C586 &lt;&gt; "Smelter Not Listed")),1,0)</formula>
    </cfRule>
    <cfRule type="expression" dxfId="40" priority="47" stopIfTrue="1">
      <formula>IF(AND(D586="",$C586=$X$4),TRUE)</formula>
    </cfRule>
    <cfRule type="expression" dxfId="39" priority="48" stopIfTrue="1">
      <formula>IF(FIND("!",D586),TRUE)</formula>
    </cfRule>
  </conditionalFormatting>
  <conditionalFormatting sqref="G586:G2493">
    <cfRule type="expression" dxfId="38" priority="49" stopIfTrue="1">
      <formula>IF(FIND("Enter smelter details",G586),TRUE)</formula>
    </cfRule>
  </conditionalFormatting>
  <conditionalFormatting sqref="R586:R2494 E586:E2493">
    <cfRule type="expression" dxfId="37" priority="35" stopIfTrue="1">
      <formula>IF(AND(E586="",$C586=$X$4),TRUE)</formula>
    </cfRule>
    <cfRule type="expression" dxfId="36" priority="36" stopIfTrue="1">
      <formula>IF(FIND("!",E586),TRUE)</formula>
    </cfRule>
  </conditionalFormatting>
  <conditionalFormatting sqref="F586:F2493">
    <cfRule type="expression" dxfId="35" priority="26" stopIfTrue="1">
      <formula>IF(AND(LEN($A586)&gt;0,$A586&lt;&gt;$F586),TRUE,FALSE)</formula>
    </cfRule>
  </conditionalFormatting>
  <conditionalFormatting sqref="C586:C2493">
    <cfRule type="expression" dxfId="34" priority="25" stopIfTrue="1">
      <formula>IF(AND(B586&lt;&gt;"",C586=""),TRUE)</formula>
    </cfRule>
  </conditionalFormatting>
  <conditionalFormatting sqref="B5:B585">
    <cfRule type="expression" dxfId="33" priority="4" stopIfTrue="1">
      <formula>IF(B5="",TRUE)</formula>
    </cfRule>
    <cfRule type="expression" dxfId="32" priority="7" stopIfTrue="1">
      <formula>IF(AND(COUNTIF(MetalSmelter,B5&amp;C5)=0,LEN(C5)&gt;0), TRUE, FALSE)</formula>
    </cfRule>
  </conditionalFormatting>
  <conditionalFormatting sqref="D5:D585">
    <cfRule type="expression" dxfId="31" priority="1" stopIfTrue="1">
      <formula>IF(AND(LEN($C5) &gt;0, ($C5 &lt;&gt; "Smelter Not Listed")),1,0)</formula>
    </cfRule>
    <cfRule type="expression" dxfId="30" priority="8" stopIfTrue="1">
      <formula>IF(AND(D5="",$C5=$X$4),TRUE)</formula>
    </cfRule>
    <cfRule type="expression" dxfId="29" priority="9" stopIfTrue="1">
      <formula>IF(FIND("!",D5),TRUE)</formula>
    </cfRule>
  </conditionalFormatting>
  <conditionalFormatting sqref="G5:G585">
    <cfRule type="expression" dxfId="28" priority="10" stopIfTrue="1">
      <formula>IF(FIND("Enter smelter details",G5),TRUE)</formula>
    </cfRule>
  </conditionalFormatting>
  <conditionalFormatting sqref="R5:R585 E5:E585">
    <cfRule type="expression" dxfId="27" priority="5" stopIfTrue="1">
      <formula>IF(AND(E5="",$C5=$X$4),TRUE)</formula>
    </cfRule>
    <cfRule type="expression" dxfId="26" priority="6" stopIfTrue="1">
      <formula>IF(FIND("!",E5),TRUE)</formula>
    </cfRule>
  </conditionalFormatting>
  <conditionalFormatting sqref="F5:F585">
    <cfRule type="expression" dxfId="25" priority="3" stopIfTrue="1">
      <formula>IF(AND(LEN($A5)&gt;0,$A5&lt;&gt;$F5),TRUE,FALSE)</formula>
    </cfRule>
  </conditionalFormatting>
  <conditionalFormatting sqref="C5:C585">
    <cfRule type="expression" dxfId="24" priority="2"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38" t="str">
        <f ca="1">OFFSET(L!$C$1,MATCH("Checker"&amp;ADDRESS(ROW(),COLUMN(),4),L!$A:$A,0)-1,SL,,)</f>
        <v>将报告提交给客户以检查表格高亮显示为红色的任何行之前， 请确保已填妥所有必填字段。</v>
      </c>
      <c r="B1" s="438"/>
      <c r="C1" s="438"/>
      <c r="D1" s="150" t="str">
        <f ca="1">OFFSET(L!$C$1,MATCH("Checker"&amp;ADDRESS(ROW(),COLUMN(),4),L!$A:$A,0)-1,SL,,)</f>
        <v>待完成的必填字段</v>
      </c>
      <c r="E1" s="87" t="s">
        <v>917</v>
      </c>
    </row>
    <row r="2" spans="1:10" ht="15">
      <c r="A2" s="80" t="s">
        <v>1014</v>
      </c>
      <c r="B2" s="81" t="str">
        <f>IF(F62=1,"Click here to return to Smelter List","")</f>
        <v>Click here to return to Smelter List</v>
      </c>
      <c r="C2" s="154" t="str">
        <f>IF(F61=1,"Click here to return to Product List","")</f>
        <v/>
      </c>
      <c r="D2" s="185" t="str">
        <f ca="1">IF(H67=0,"0",H67)</f>
        <v>0</v>
      </c>
    </row>
    <row r="3" spans="1:10" ht="15">
      <c r="A3" s="82" t="str">
        <f ca="1">OFFSET(L!$C$1,MATCH("Checker"&amp;ADDRESS(ROW(),COLUMN(),4),L!$A:$A,0)-1,SL,,)</f>
        <v>必填字段</v>
      </c>
      <c r="B3" s="82" t="str">
        <f ca="1">OFFSET(L!$C$1,MATCH("Checker"&amp;ADDRESS(ROW(),COLUMN(),4),L!$A:$A,0)-1,SL,,)</f>
        <v>已提供的答案</v>
      </c>
      <c r="C3" s="82" t="str">
        <f ca="1">OFFSET(L!$C$1,MATCH("Checker"&amp;ADDRESS(ROW(),COLUMN(),4),L!$A:$A,0)-1,SL,,)</f>
        <v>备注</v>
      </c>
      <c r="D3" s="82" t="str">
        <f ca="1">OFFSET(L!$C$1,MATCH("Checker"&amp;ADDRESS(ROW(),COLUMN(),4),L!$A:$A,0)-1,SL,,)</f>
        <v>信息源超链接</v>
      </c>
      <c r="F3" s="83" t="s">
        <v>598</v>
      </c>
      <c r="G3" s="22" t="s">
        <v>597</v>
      </c>
      <c r="H3" s="22" t="s">
        <v>599</v>
      </c>
      <c r="I3" s="180" t="s">
        <v>1447</v>
      </c>
      <c r="J3" s="22" t="s">
        <v>1448</v>
      </c>
    </row>
    <row r="4" spans="1:10" ht="39">
      <c r="A4" s="106" t="str">
        <f ca="1">Declaration!B8</f>
        <v>公司名称 (*)：</v>
      </c>
      <c r="B4" s="105" t="str">
        <f>Declaration!D8</f>
        <v>Xiamen Zettler Electronics Co.,Ltd.</v>
      </c>
      <c r="C4" s="105" t="str">
        <f t="shared" ref="C4:C9" ca="1" si="0">IF(H4=1,J4,I4)</f>
        <v>填写</v>
      </c>
      <c r="D4" s="111" t="str">
        <f>IF(H4=1,"Click here to enter Company Name","")</f>
        <v/>
      </c>
      <c r="E4" s="87" t="s">
        <v>1437</v>
      </c>
      <c r="F4" s="109">
        <v>1</v>
      </c>
      <c r="G4" s="84">
        <f t="shared" ref="G4:G9" si="1">IF(B4=0,1,0)</f>
        <v>0</v>
      </c>
      <c r="H4" s="85">
        <f>F4*G4</f>
        <v>0</v>
      </c>
      <c r="I4" s="181" t="str">
        <f ca="1">OFFSET(L!$C$1,MATCH("Checker"&amp;"Comp",L!$A:$A,0)-1,SL,,)</f>
        <v>填写</v>
      </c>
      <c r="J4" s="182" t="str">
        <f ca="1">OFFSET(L!$C$1,MATCH("Checker"&amp;ADDRESS(ROW(),COLUMN(),4),L!$A:$A,0)-1,SL,,)</f>
        <v>在“申报”选项卡 D8 单元格中，提供贵公司的名称</v>
      </c>
    </row>
    <row r="5" spans="1:10" ht="39">
      <c r="A5" s="106" t="str">
        <f ca="1">Declaration!B9</f>
        <v>申报范围或种类 (*)：</v>
      </c>
      <c r="B5" s="105" t="str">
        <f>Declaration!D9</f>
        <v>A. Company</v>
      </c>
      <c r="C5" s="105" t="str">
        <f t="shared" ca="1" si="0"/>
        <v>填写</v>
      </c>
      <c r="D5" s="111" t="str">
        <f>IF(H5=1,"Click here to enter Declaration Scope","")</f>
        <v/>
      </c>
      <c r="E5" s="87" t="s">
        <v>1437</v>
      </c>
      <c r="F5" s="109">
        <v>1</v>
      </c>
      <c r="G5" s="84">
        <f t="shared" si="1"/>
        <v>0</v>
      </c>
      <c r="H5" s="85">
        <f t="shared" ref="H5:H23" si="2">F5*G5</f>
        <v>0</v>
      </c>
      <c r="I5" s="181" t="str">
        <f ca="1">OFFSET(L!$C$1,MATCH("Checker"&amp;"Comp",L!$A:$A,0)-1,SL,,)</f>
        <v>填写</v>
      </c>
      <c r="J5" s="182" t="str">
        <f ca="1">OFFSET(L!$C$1,MATCH("Checker"&amp;ADDRESS(ROW(),COLUMN(),4),L!$A:$A,0)-1,SL,,)</f>
        <v>在“申报”选项卡 D9 单元格中，选择申报范围</v>
      </c>
    </row>
    <row r="6" spans="1:10" ht="39">
      <c r="A6" s="106" t="str">
        <f ca="1">Declaration!B10</f>
        <v>范围描述：</v>
      </c>
      <c r="B6" s="105" t="str">
        <f>Declaration!D10</f>
        <v>LCM MODULE</v>
      </c>
      <c r="C6" s="105" t="str">
        <f t="shared" ca="1" si="0"/>
        <v>填写</v>
      </c>
      <c r="D6" s="111" t="str">
        <f>IF(H6=1,"Click here to provide a Description of Scope","")</f>
        <v/>
      </c>
      <c r="E6" s="87" t="s">
        <v>1437</v>
      </c>
      <c r="F6" s="110">
        <f>IF(OR(B5=Declaration!P9,B5=Declaration!Q9,B5=0),0,1)</f>
        <v>0</v>
      </c>
      <c r="G6" s="84">
        <f t="shared" si="1"/>
        <v>0</v>
      </c>
      <c r="H6" s="85">
        <f t="shared" si="2"/>
        <v>0</v>
      </c>
      <c r="I6" s="181" t="str">
        <f ca="1">OFFSET(L!$C$1,MATCH("Checker"&amp;"Comp",L!$A:$A,0)-1,SL,,)</f>
        <v>填写</v>
      </c>
      <c r="J6" s="22" t="str">
        <f ca="1">OFFSET(L!$C$1,MATCH("Checker"&amp;ADDRESS(ROW(),COLUMN(),4),L!$A:$A,0)-1,SL,,)</f>
        <v>在“申报”选项卡 D10 单元格中，提供范围说明</v>
      </c>
    </row>
    <row r="7" spans="1:10" ht="39">
      <c r="A7" s="106" t="str">
        <f ca="1">Declaration!B15</f>
        <v>联系人姓名 (*)：</v>
      </c>
      <c r="B7" s="105" t="str">
        <f>Declaration!D15</f>
        <v>qunyu</v>
      </c>
      <c r="C7" s="105" t="str">
        <f t="shared" ca="1" si="0"/>
        <v>填写</v>
      </c>
      <c r="D7" s="111" t="str">
        <f>IF(H7=1,"Click here to enter Contact Name","")</f>
        <v/>
      </c>
      <c r="E7" s="87" t="s">
        <v>1437</v>
      </c>
      <c r="F7" s="153">
        <v>1</v>
      </c>
      <c r="G7" s="84">
        <f t="shared" si="1"/>
        <v>0</v>
      </c>
      <c r="H7" s="85">
        <f t="shared" si="2"/>
        <v>0</v>
      </c>
      <c r="I7" s="181" t="str">
        <f ca="1">OFFSET(L!$C$1,MATCH("Checker"&amp;"Comp",L!$A:$A,0)-1,SL,,)</f>
        <v>填写</v>
      </c>
      <c r="J7" s="22" t="str">
        <f ca="1">OFFSET(L!$C$1,MATCH("Checker"&amp;ADDRESS(ROW(),COLUMN(),4),L!$A:$A,0)-1,SL,,)</f>
        <v>在“申报”选项卡 D15 单元格中，提供联系人姓名</v>
      </c>
    </row>
    <row r="8" spans="1:10" ht="39">
      <c r="A8" s="106" t="str">
        <f ca="1">Declaration!B16</f>
        <v>电子邮件 - 联系人 (*)：</v>
      </c>
      <c r="B8" s="105" t="str">
        <f>Declaration!D16</f>
        <v xml:space="preserve">dcc@zettlercn.com </v>
      </c>
      <c r="C8" s="105" t="str">
        <f t="shared" ca="1" si="0"/>
        <v>填写</v>
      </c>
      <c r="D8" s="111" t="str">
        <f>IF(H8=1,"Click here to enter Email-Contact","")</f>
        <v/>
      </c>
      <c r="E8" s="87" t="s">
        <v>1437</v>
      </c>
      <c r="F8" s="153">
        <v>1</v>
      </c>
      <c r="G8" s="84">
        <f>IF(ISNUMBER(SEARCH("@",B8)),0,1)</f>
        <v>0</v>
      </c>
      <c r="H8" s="85">
        <f t="shared" si="2"/>
        <v>0</v>
      </c>
      <c r="I8" s="181" t="str">
        <f ca="1">OFFSET(L!$C$1,MATCH("Checker"&amp;"Comp",L!$A:$A,0)-1,SL,,)</f>
        <v>填写</v>
      </c>
      <c r="J8" s="22" t="str">
        <f ca="1">OFFSET(L!$C$1,MATCH("Checker"&amp;ADDRESS(ROW(),COLUMN(),4),L!$A:$A,0)-1,SL,,)</f>
        <v>在“申报”选项卡 D16 单元格中，提供联系人的有效电子邮件</v>
      </c>
    </row>
    <row r="9" spans="1:10" ht="39">
      <c r="A9" s="106" t="str">
        <f ca="1">Declaration!B17</f>
        <v>电话 - 联系人 (*)：</v>
      </c>
      <c r="B9" s="105" t="str">
        <f>Declaration!D17</f>
        <v>0086-592-2631729</v>
      </c>
      <c r="C9" s="105" t="str">
        <f t="shared" ca="1" si="0"/>
        <v>填写</v>
      </c>
      <c r="D9" s="111" t="str">
        <f>IF(H9=1,"Click here to enter Phone-Contact","")</f>
        <v/>
      </c>
      <c r="E9" s="87" t="s">
        <v>1437</v>
      </c>
      <c r="F9" s="153">
        <v>1</v>
      </c>
      <c r="G9" s="84">
        <f t="shared" si="1"/>
        <v>0</v>
      </c>
      <c r="H9" s="85">
        <f t="shared" si="2"/>
        <v>0</v>
      </c>
      <c r="I9" s="181" t="str">
        <f ca="1">OFFSET(L!$C$1,MATCH("Checker"&amp;"Comp",L!$A:$A,0)-1,SL,,)</f>
        <v>填写</v>
      </c>
      <c r="J9" s="22" t="str">
        <f ca="1">OFFSET(L!$C$1,MATCH("Checker"&amp;ADDRESS(ROW(),COLUMN(),4),L!$A:$A,0)-1,SL,,)</f>
        <v>在“申报”选项卡 D17 单元格中，提供联系人的电话号码</v>
      </c>
    </row>
    <row r="10" spans="1:10" ht="39">
      <c r="A10" s="106" t="str">
        <f ca="1">Declaration!B18</f>
        <v>授权人 (*)：</v>
      </c>
      <c r="B10" s="105" t="str">
        <f>Declaration!D18</f>
        <v>zongzong Zheng</v>
      </c>
      <c r="C10" s="105" t="str">
        <f t="shared" ref="C10:C61" ca="1" si="3">IF(H10=1,J10,I10)</f>
        <v>填写</v>
      </c>
      <c r="D10" s="111" t="str">
        <f>IF(H10=1,"Click here to enter an Authorized Company Representative's name","")</f>
        <v/>
      </c>
      <c r="E10" s="87" t="s">
        <v>1437</v>
      </c>
      <c r="F10" s="109">
        <v>1</v>
      </c>
      <c r="G10" s="84">
        <f t="shared" ref="G10:G23" si="4">IF(B10=0,1,0)</f>
        <v>0</v>
      </c>
      <c r="H10" s="85">
        <f t="shared" si="2"/>
        <v>0</v>
      </c>
      <c r="I10" s="181" t="str">
        <f ca="1">OFFSET(L!$C$1,MATCH("Checker"&amp;"Comp",L!$A:$A,0)-1,SL,,)</f>
        <v>填写</v>
      </c>
      <c r="J10" s="22" t="str">
        <f ca="1">OFFSET(L!$C$1,MATCH("Checker"&amp;ADDRESS(ROW(),COLUMN(),4),L!$A:$A,0)-1,SL,,)</f>
        <v>在“申报”选项卡 D18 单元格中，提供授权公司代表联系人姓名</v>
      </c>
    </row>
    <row r="11" spans="1:10" ht="39">
      <c r="A11" s="106" t="str">
        <f ca="1">Declaration!B20</f>
        <v>电子邮件 - 授权人 (*)：</v>
      </c>
      <c r="B11" s="105" t="str">
        <f>Declaration!D20</f>
        <v>zhengzz@zettlercn.com</v>
      </c>
      <c r="C11" s="105" t="str">
        <f t="shared" ca="1" si="3"/>
        <v>填写</v>
      </c>
      <c r="D11" s="111" t="str">
        <f>IF(H11=1,"Click here to enter Representative's email","")</f>
        <v/>
      </c>
      <c r="E11" s="87" t="s">
        <v>1437</v>
      </c>
      <c r="F11" s="109">
        <v>1</v>
      </c>
      <c r="G11" s="84">
        <f>IF(ISNUMBER(SEARCH("@",B11)),0,1)</f>
        <v>0</v>
      </c>
      <c r="H11" s="85">
        <f t="shared" si="2"/>
        <v>0</v>
      </c>
      <c r="I11" s="181" t="str">
        <f ca="1">OFFSET(L!$C$1,MATCH("Checker"&amp;"Comp",L!$A:$A,0)-1,SL,,)</f>
        <v>填写</v>
      </c>
      <c r="J11" s="22" t="str">
        <f ca="1">OFFSET(L!$C$1,MATCH("Checker"&amp;ADDRESS(ROW(),COLUMN(),4),L!$A:$A,0)-1,SL,,)</f>
        <v>在“申报”选项卡 D20 单元格中，提供授权公司代表的有效电子邮件</v>
      </c>
    </row>
    <row r="12" spans="1:10" ht="39">
      <c r="A12" s="106" t="str">
        <f ca="1">Declaration!B21</f>
        <v>电话 - 授权人 (*)：</v>
      </c>
      <c r="B12" s="105" t="str">
        <f>Declaration!D21</f>
        <v>+86 592 2631596</v>
      </c>
      <c r="C12" s="105" t="str">
        <f ca="1">IF(H12=1,J12,I12)</f>
        <v>填写</v>
      </c>
      <c r="D12" s="111" t="str">
        <f>IF(H12=1,"Click here to enter Representative's phone","")</f>
        <v/>
      </c>
      <c r="E12" s="87" t="s">
        <v>1437</v>
      </c>
      <c r="F12" s="109">
        <v>1</v>
      </c>
      <c r="G12" s="84">
        <f>IF(B12=0,1,0)</f>
        <v>0</v>
      </c>
      <c r="H12" s="85">
        <f>F12*G12</f>
        <v>0</v>
      </c>
      <c r="I12" s="181" t="str">
        <f ca="1">OFFSET(L!$C$1,MATCH("Checker"&amp;"Comp",L!$A:$A,0)-1,SL,,)</f>
        <v>填写</v>
      </c>
      <c r="J12" s="22" t="str">
        <f ca="1">OFFSET(L!$C$1,MATCH("Checker"&amp;ADDRESS(ROW(),COLUMN(),4),L!$A:$A,0)-1,SL,,)</f>
        <v>在“申报”选项卡 D21 单元格中，提供授权公司代表的电话号码</v>
      </c>
    </row>
    <row r="13" spans="1:10" ht="39">
      <c r="A13" s="106" t="str">
        <f ca="1">Declaration!B22</f>
        <v>生效日期 (*)：</v>
      </c>
      <c r="B13" s="107">
        <f>Declaration!D22</f>
        <v>43746</v>
      </c>
      <c r="C13" s="105" t="str">
        <f t="shared" ca="1" si="3"/>
        <v>填写</v>
      </c>
      <c r="D13" s="111" t="str">
        <f>IF(H13=1,"Click here to enter Date of Completion","")</f>
        <v/>
      </c>
      <c r="E13" s="87" t="s">
        <v>1437</v>
      </c>
      <c r="F13" s="109">
        <v>1</v>
      </c>
      <c r="G13" s="84">
        <f t="shared" si="4"/>
        <v>0</v>
      </c>
      <c r="H13" s="85">
        <f t="shared" si="2"/>
        <v>0</v>
      </c>
      <c r="I13" s="181" t="str">
        <f ca="1">OFFSET(L!$C$1,MATCH("Checker"&amp;"Comp",L!$A:$A,0)-1,SL,,)</f>
        <v>填写</v>
      </c>
      <c r="J13" s="22" t="str">
        <f ca="1">OFFSET(L!$C$1,MATCH("Checker"&amp;ADDRESS(ROW(),COLUMN(),4),L!$A:$A,0)-1,SL,,)</f>
        <v>在“申报”选项卡 D22 单元格中，提供表格填写日期</v>
      </c>
    </row>
    <row r="14" spans="1:10" ht="63.75">
      <c r="A14" s="105" t="str">
        <f ca="1">Declaration!B25</f>
        <v>1) 是否在产品或生产流程中有意添加或使用任何 3TG？(*)</v>
      </c>
      <c r="B14" s="108"/>
      <c r="C14" s="108"/>
      <c r="D14" s="112"/>
      <c r="E14" s="87" t="s">
        <v>921</v>
      </c>
      <c r="F14" s="109"/>
      <c r="G14" s="24"/>
      <c r="H14" s="86">
        <f t="shared" si="2"/>
        <v>0</v>
      </c>
    </row>
    <row r="15" spans="1:10" ht="26.25">
      <c r="A15" s="106" t="str">
        <f ca="1">Declaration!B26</f>
        <v>钽(*)</v>
      </c>
      <c r="B15" s="105" t="str">
        <f>Declaration!D26</f>
        <v>Yes</v>
      </c>
      <c r="C15" s="105" t="str">
        <f t="shared" ca="1" si="3"/>
        <v>填写</v>
      </c>
      <c r="D15" s="111" t="str">
        <f>IF(H15=1,"Click here to answer question 1 for Tantalum","")</f>
        <v/>
      </c>
      <c r="E15" s="87" t="s">
        <v>917</v>
      </c>
      <c r="F15" s="109">
        <v>1</v>
      </c>
      <c r="G15" s="84">
        <f t="shared" si="4"/>
        <v>0</v>
      </c>
      <c r="H15" s="85">
        <f t="shared" si="2"/>
        <v>0</v>
      </c>
      <c r="I15" s="181" t="str">
        <f ca="1">OFFSET(L!$C$1,MATCH("Checker"&amp;"Comp",L!$A:$A,0)-1,SL,,)</f>
        <v>填写</v>
      </c>
      <c r="J15" s="182" t="str">
        <f ca="1">OFFSET(L!$C$1,MATCH("Checker"&amp;ADDRESS(ROW(),COLUMN(),4),L!$A:$A,0)-1,SL,,)</f>
        <v>在“申报”选项卡 D26 单元格中，申报是否有意将钽添加至贵公司的产品中</v>
      </c>
    </row>
    <row r="16" spans="1:10" ht="39">
      <c r="A16" s="106" t="str">
        <f ca="1">Declaration!B27</f>
        <v>锡(*)</v>
      </c>
      <c r="B16" s="105" t="str">
        <f>Declaration!D27</f>
        <v>Yes</v>
      </c>
      <c r="C16" s="105" t="str">
        <f t="shared" ca="1" si="3"/>
        <v>填写</v>
      </c>
      <c r="D16" s="111" t="str">
        <f>IF(H16=1,"Click here to answer question 1 for Tin","")</f>
        <v/>
      </c>
      <c r="E16" s="87" t="s">
        <v>918</v>
      </c>
      <c r="F16" s="109">
        <v>1</v>
      </c>
      <c r="G16" s="84">
        <f t="shared" si="4"/>
        <v>0</v>
      </c>
      <c r="H16" s="85">
        <f t="shared" si="2"/>
        <v>0</v>
      </c>
      <c r="I16" s="181" t="str">
        <f ca="1">OFFSET(L!$C$1,MATCH("Checker"&amp;"Comp",L!$A:$A,0)-1,SL,,)</f>
        <v>填写</v>
      </c>
      <c r="J16" s="182" t="str">
        <f ca="1">OFFSET(L!$C$1,MATCH("Checker"&amp;ADDRESS(ROW(),COLUMN(),4),L!$A:$A,0)-1,SL,,)</f>
        <v>在“申报”选项卡 D27 单元格中，申报是否有意将锡添加至贵公司的产品中</v>
      </c>
    </row>
    <row r="17" spans="1:10" ht="39">
      <c r="A17" s="106" t="str">
        <f ca="1">Declaration!B28</f>
        <v>金(*)</v>
      </c>
      <c r="B17" s="105" t="str">
        <f>Declaration!D28</f>
        <v>Yes</v>
      </c>
      <c r="C17" s="105" t="str">
        <f t="shared" ca="1" si="3"/>
        <v>填写</v>
      </c>
      <c r="D17" s="111" t="str">
        <f>IF(H17=1,"Click here to answer question 1 for Gold","")</f>
        <v/>
      </c>
      <c r="E17" s="87" t="s">
        <v>918</v>
      </c>
      <c r="F17" s="109">
        <v>1</v>
      </c>
      <c r="G17" s="84">
        <f t="shared" si="4"/>
        <v>0</v>
      </c>
      <c r="H17" s="85">
        <f t="shared" si="2"/>
        <v>0</v>
      </c>
      <c r="I17" s="181" t="str">
        <f ca="1">OFFSET(L!$C$1,MATCH("Checker"&amp;"Comp",L!$A:$A,0)-1,SL,,)</f>
        <v>填写</v>
      </c>
      <c r="J17" s="182" t="str">
        <f ca="1">OFFSET(L!$C$1,MATCH("Checker"&amp;ADDRESS(ROW(),COLUMN(),4),L!$A:$A,0)-1,SL,,)</f>
        <v>在“申报”选项卡 D28 单元格中，申报是否有意将金添加至贵公司的产品中</v>
      </c>
    </row>
    <row r="18" spans="1:10" ht="39">
      <c r="A18" s="106" t="str">
        <f ca="1">Declaration!B29</f>
        <v>钨</v>
      </c>
      <c r="B18" s="105" t="str">
        <f>Declaration!D29</f>
        <v>No</v>
      </c>
      <c r="C18" s="105" t="str">
        <f t="shared" ca="1" si="3"/>
        <v>填写</v>
      </c>
      <c r="D18" s="111" t="str">
        <f>IF(H18=1,"Click here to answer question 1 for Tungsten","")</f>
        <v/>
      </c>
      <c r="E18" s="87" t="s">
        <v>918</v>
      </c>
      <c r="F18" s="109">
        <v>1</v>
      </c>
      <c r="G18" s="84">
        <f t="shared" si="4"/>
        <v>0</v>
      </c>
      <c r="H18" s="85">
        <f t="shared" si="2"/>
        <v>0</v>
      </c>
      <c r="I18" s="181" t="str">
        <f ca="1">OFFSET(L!$C$1,MATCH("Checker"&amp;"Comp",L!$A:$A,0)-1,SL,,)</f>
        <v>填写</v>
      </c>
      <c r="J18" s="182" t="str">
        <f ca="1">OFFSET(L!$C$1,MATCH("Checker"&amp;ADDRESS(ROW(),COLUMN(),4),L!$A:$A,0)-1,SL,,)</f>
        <v>在“申报”选项卡 D29 单元格中，申报是否有意将钨添加至贵公司的产品中</v>
      </c>
    </row>
    <row r="19" spans="1:10" ht="51">
      <c r="A19" s="105" t="str">
        <f ca="1">Declaration!B31</f>
        <v>2) 是否有任何 3TG 仍存在于产品中？ (*)</v>
      </c>
      <c r="B19" s="108"/>
      <c r="C19" s="108"/>
      <c r="D19" s="112"/>
      <c r="E19" s="87" t="s">
        <v>919</v>
      </c>
      <c r="F19" s="109"/>
      <c r="G19" s="24"/>
      <c r="H19" s="24"/>
      <c r="J19" s="182"/>
    </row>
    <row r="20" spans="1:10" ht="39">
      <c r="A20" s="106" t="str">
        <f ca="1">Declaration!B32</f>
        <v>钽(*)</v>
      </c>
      <c r="B20" s="105" t="str">
        <f>IF($B$15="Yes",Declaration!D32,0)</f>
        <v>Yes</v>
      </c>
      <c r="C20" s="105" t="str">
        <f t="shared" ca="1" si="3"/>
        <v>填写</v>
      </c>
      <c r="D20" s="113" t="str">
        <f>IF(H20=1,"Click here to answer question 2 for Tantalum","")</f>
        <v/>
      </c>
      <c r="E20" s="87" t="s">
        <v>918</v>
      </c>
      <c r="F20" s="110">
        <f>IF(B$15="No",0,1)</f>
        <v>1</v>
      </c>
      <c r="G20" s="84">
        <f t="shared" si="4"/>
        <v>0</v>
      </c>
      <c r="H20" s="85">
        <f t="shared" si="2"/>
        <v>0</v>
      </c>
      <c r="I20" s="181" t="str">
        <f ca="1">OFFSET(L!$C$1,MATCH("Checker"&amp;"Comp",L!$A:$A,0)-1,SL,,)</f>
        <v>填写</v>
      </c>
      <c r="J20" s="182" t="str">
        <f ca="1">OFFSET(L!$C$1,MATCH("Checker"&amp;ADDRESS(ROW(),COLUMN(),4),L!$A:$A,0)-1,SL,,)</f>
        <v>在“申报”选项卡 D32 单元格中，申报钽是否必须用于贵公司产品的生产中，并且包含在申报的成品内</v>
      </c>
    </row>
    <row r="21" spans="1:10" ht="39">
      <c r="A21" s="106" t="str">
        <f ca="1">Declaration!B33</f>
        <v>锡(*)</v>
      </c>
      <c r="B21" s="105" t="str">
        <f>IF($B$16="Yes",Declaration!D33,0)</f>
        <v>Yes</v>
      </c>
      <c r="C21" s="105" t="str">
        <f t="shared" ca="1" si="3"/>
        <v>填写</v>
      </c>
      <c r="D21" s="113" t="str">
        <f>IF(H21=1,"Click here to answer question 2 for Tin","")</f>
        <v/>
      </c>
      <c r="E21" s="87" t="s">
        <v>918</v>
      </c>
      <c r="F21" s="110">
        <f>IF(B$16="No",0,1)</f>
        <v>1</v>
      </c>
      <c r="G21" s="84">
        <f t="shared" si="4"/>
        <v>0</v>
      </c>
      <c r="H21" s="85">
        <f t="shared" si="2"/>
        <v>0</v>
      </c>
      <c r="I21" s="181" t="str">
        <f ca="1">OFFSET(L!$C$1,MATCH("Checker"&amp;"Comp",L!$A:$A,0)-1,SL,,)</f>
        <v>填写</v>
      </c>
      <c r="J21" s="182" t="str">
        <f ca="1">OFFSET(L!$C$1,MATCH("Checker"&amp;ADDRESS(ROW(),COLUMN(),4),L!$A:$A,0)-1,SL,,)</f>
        <v>在“申报”选项卡 D33 单元格中，申报锡是否必须用于贵公司产品的生产中，并且包含在申报的成品内</v>
      </c>
    </row>
    <row r="22" spans="1:10" ht="39">
      <c r="A22" s="106" t="str">
        <f ca="1">Declaration!B34</f>
        <v>金(*)</v>
      </c>
      <c r="B22" s="105" t="str">
        <f>IF($B$17="Yes",Declaration!D34,0)</f>
        <v>Yes</v>
      </c>
      <c r="C22" s="105" t="str">
        <f t="shared" ca="1" si="3"/>
        <v>填写</v>
      </c>
      <c r="D22" s="113" t="str">
        <f>IF(H22=1,"Click here to answer question 2 for Gold","")</f>
        <v/>
      </c>
      <c r="E22" s="87" t="s">
        <v>918</v>
      </c>
      <c r="F22" s="110">
        <f>IF(B$17="No",0,1)</f>
        <v>1</v>
      </c>
      <c r="G22" s="84">
        <f t="shared" si="4"/>
        <v>0</v>
      </c>
      <c r="H22" s="85">
        <f t="shared" si="2"/>
        <v>0</v>
      </c>
      <c r="I22" s="181" t="str">
        <f ca="1">OFFSET(L!$C$1,MATCH("Checker"&amp;"Comp",L!$A:$A,0)-1,SL,,)</f>
        <v>填写</v>
      </c>
      <c r="J22" s="182" t="str">
        <f ca="1">OFFSET(L!$C$1,MATCH("Checker"&amp;ADDRESS(ROW(),COLUMN(),4),L!$A:$A,0)-1,SL,,)</f>
        <v>在“申报”选项卡 D34 单元格中，申报金是否必须用于贵公司产品的生产中，并且包含在申报的成品内</v>
      </c>
    </row>
    <row r="23" spans="1:10" ht="39">
      <c r="A23" s="106" t="str">
        <f ca="1">Declaration!B35</f>
        <v>钨</v>
      </c>
      <c r="B23" s="105">
        <f>IF($B$18="Yes",Declaration!D35,0)</f>
        <v>0</v>
      </c>
      <c r="C23" s="105" t="str">
        <f t="shared" ca="1" si="3"/>
        <v>填写</v>
      </c>
      <c r="D23" s="113" t="str">
        <f>IF(H23=1,"Click here to answer question 2 for Tungsten","")</f>
        <v/>
      </c>
      <c r="E23" s="87" t="s">
        <v>918</v>
      </c>
      <c r="F23" s="110">
        <f>IF(B$18="No",0,1)</f>
        <v>0</v>
      </c>
      <c r="G23" s="84">
        <f t="shared" si="4"/>
        <v>1</v>
      </c>
      <c r="H23" s="85">
        <f t="shared" si="2"/>
        <v>0</v>
      </c>
      <c r="I23" s="181" t="str">
        <f ca="1">OFFSET(L!$C$1,MATCH("Checker"&amp;"Comp",L!$A:$A,0)-1,SL,,)</f>
        <v>填写</v>
      </c>
      <c r="J23" s="182" t="str">
        <f ca="1">OFFSET(L!$C$1,MATCH("Checker"&amp;ADDRESS(ROW(),COLUMN(),4),L!$A:$A,0)-1,SL,,)</f>
        <v>在“申报”选项卡 D35 单元格中，申报钨是否必须用于贵公司产品的生产中，并且包含在申报的成品内</v>
      </c>
    </row>
    <row r="24" spans="1:10" ht="57.75" customHeight="1">
      <c r="A24" s="105" t="str">
        <f ca="1">Declaration!B37</f>
        <v>3) 贵公司供应链中的冶炼厂是否从所指明的国家采购 3TG？（有关术语“SEC”，请参见定义选项卡） (*)</v>
      </c>
      <c r="B24" s="108"/>
      <c r="C24" s="108"/>
      <c r="D24" s="112"/>
      <c r="E24" s="87" t="s">
        <v>918</v>
      </c>
      <c r="F24" s="109"/>
      <c r="G24" s="24"/>
      <c r="H24" s="24"/>
      <c r="J24" s="182"/>
    </row>
    <row r="25" spans="1:10" ht="39">
      <c r="A25" s="106" t="str">
        <f ca="1">Declaration!B38</f>
        <v>钽(*)</v>
      </c>
      <c r="B25" s="105" t="str">
        <f>IF(AND($B$15="Yes",$B$20="Yes"),Declaration!D38,0)</f>
        <v>Yes</v>
      </c>
      <c r="C25" s="105" t="str">
        <f t="shared" ca="1" si="3"/>
        <v>填写</v>
      </c>
      <c r="D25" s="113" t="str">
        <f>IF(H25=1,"Click here to answer question 3 for Tantalum","")</f>
        <v/>
      </c>
      <c r="E25" s="87" t="s">
        <v>918</v>
      </c>
      <c r="F25" s="110">
        <f>IF(OR(B15="No",B20="No"),0,1)</f>
        <v>1</v>
      </c>
      <c r="G25" s="84">
        <f t="shared" ref="G25:G60" si="5">IF(B25=0,1,0)</f>
        <v>0</v>
      </c>
      <c r="H25" s="85">
        <f t="shared" ref="H25:H65" si="6">F25*G25</f>
        <v>0</v>
      </c>
      <c r="I25" s="181" t="str">
        <f ca="1">OFFSET(L!$C$1,MATCH("Checker"&amp;"Comp",L!$A:$A,0)-1,SL,,)</f>
        <v>填写</v>
      </c>
      <c r="J25" s="22" t="str">
        <f ca="1">OFFSET(L!$C$1,MATCH("Checker"&amp;ADDRESS(ROW(),COLUMN(),4),L!$A:$A,0)-1,SL,,)</f>
        <v>在“申报”选项卡 D38 单元格中，申报在此调查回答里申报的产品范围内所用钽的原产地是否为刚果民主共和国或毗邻国家或地区</v>
      </c>
    </row>
    <row r="26" spans="1:10" ht="39">
      <c r="A26" s="106" t="str">
        <f ca="1">Declaration!B39</f>
        <v>锡(*)</v>
      </c>
      <c r="B26" s="105" t="str">
        <f>IF(AND($B$16="Yes",$B$21="Yes"),Declaration!D39,0)</f>
        <v>Yes</v>
      </c>
      <c r="C26" s="105" t="str">
        <f t="shared" ca="1" si="3"/>
        <v>填写</v>
      </c>
      <c r="D26" s="113" t="str">
        <f>IF(H26=1,"Click here to answer question 3 for Tin","")</f>
        <v/>
      </c>
      <c r="E26" s="87" t="s">
        <v>918</v>
      </c>
      <c r="F26" s="110">
        <f>IF(OR(B16="No",B21="No"),0,1)</f>
        <v>1</v>
      </c>
      <c r="G26" s="84">
        <f t="shared" si="5"/>
        <v>0</v>
      </c>
      <c r="H26" s="85">
        <f t="shared" si="6"/>
        <v>0</v>
      </c>
      <c r="I26" s="181" t="str">
        <f ca="1">OFFSET(L!$C$1,MATCH("Checker"&amp;"Comp",L!$A:$A,0)-1,SL,,)</f>
        <v>填写</v>
      </c>
      <c r="J26" s="22" t="str">
        <f ca="1">OFFSET(L!$C$1,MATCH("Checker"&amp;ADDRESS(ROW(),COLUMN(),4),L!$A:$A,0)-1,SL,,)</f>
        <v>在“申报”选项卡 D39 单元格中，申报在此调查回答里申报的产品范围内所用锡的原产地是否为刚果民主共和国或毗邻国家或地区</v>
      </c>
    </row>
    <row r="27" spans="1:10" ht="39">
      <c r="A27" s="106" t="str">
        <f ca="1">Declaration!B40</f>
        <v>金(*)</v>
      </c>
      <c r="B27" s="105" t="str">
        <f>IF(AND($B$17="Yes",$B$22="Yes"),Declaration!D40,0)</f>
        <v>Yes</v>
      </c>
      <c r="C27" s="105" t="str">
        <f t="shared" ca="1" si="3"/>
        <v>填写</v>
      </c>
      <c r="D27" s="113" t="str">
        <f>IF(H27=1,"Click here to answer question 3 for Gold","")</f>
        <v/>
      </c>
      <c r="E27" s="87" t="s">
        <v>918</v>
      </c>
      <c r="F27" s="110">
        <f>IF(OR(B17="No",B22="No"),0,1)</f>
        <v>1</v>
      </c>
      <c r="G27" s="84">
        <f t="shared" si="5"/>
        <v>0</v>
      </c>
      <c r="H27" s="85">
        <f t="shared" si="6"/>
        <v>0</v>
      </c>
      <c r="I27" s="181" t="str">
        <f ca="1">OFFSET(L!$C$1,MATCH("Checker"&amp;"Comp",L!$A:$A,0)-1,SL,,)</f>
        <v>填写</v>
      </c>
      <c r="J27" s="22" t="str">
        <f ca="1">OFFSET(L!$C$1,MATCH("Checker"&amp;ADDRESS(ROW(),COLUMN(),4),L!$A:$A,0)-1,SL,,)</f>
        <v>在“申报”选项卡 D40 单元格中，申报在此调查回答里申报的产品范围内所用金的原产地是否为刚果民主共和国或毗邻国家或地区</v>
      </c>
    </row>
    <row r="28" spans="1:10" ht="39">
      <c r="A28" s="106" t="str">
        <f ca="1">Declaration!B41</f>
        <v>钨</v>
      </c>
      <c r="B28" s="105">
        <f>IF(AND($B$18="Yes",$B$23="Yes"),Declaration!D41,0)</f>
        <v>0</v>
      </c>
      <c r="C28" s="105" t="str">
        <f t="shared" ca="1" si="3"/>
        <v>填写</v>
      </c>
      <c r="D28" s="113" t="str">
        <f>IF(H28=1,"Click here to answer question 3 for Tungsten","")</f>
        <v/>
      </c>
      <c r="E28" s="87" t="s">
        <v>918</v>
      </c>
      <c r="F28" s="110">
        <f>IF(OR(B18="No",B23="No"),0,1)</f>
        <v>0</v>
      </c>
      <c r="G28" s="84">
        <f t="shared" si="5"/>
        <v>1</v>
      </c>
      <c r="H28" s="85">
        <f t="shared" si="6"/>
        <v>0</v>
      </c>
      <c r="I28" s="181" t="str">
        <f ca="1">OFFSET(L!$C$1,MATCH("Checker"&amp;"Comp",L!$A:$A,0)-1,SL,,)</f>
        <v>填写</v>
      </c>
      <c r="J28" s="22" t="str">
        <f ca="1">OFFSET(L!$C$1,MATCH("Checker"&amp;ADDRESS(ROW(),COLUMN(),4),L!$A:$A,0)-1,SL,,)</f>
        <v>在“申报”选项卡 D41 单元格中，申报在此调查回答里申报的产品范围内所用钨的原产地是否为刚果民主共和国或毗邻国家或地区</v>
      </c>
    </row>
    <row r="29" spans="1:10" ht="38.25">
      <c r="A29" s="105" t="str">
        <f ca="1">Declaration!B43</f>
        <v>4) 是否 100% 的 3TG（因产品功能或生产而必须使用）来自于回收料或报废料？ (*)</v>
      </c>
      <c r="B29" s="108"/>
      <c r="C29" s="108"/>
      <c r="D29" s="112"/>
      <c r="E29" s="87" t="s">
        <v>1437</v>
      </c>
      <c r="F29" s="109"/>
      <c r="G29" s="24"/>
      <c r="H29" s="24"/>
      <c r="J29" s="182"/>
    </row>
    <row r="30" spans="1:10" ht="39">
      <c r="A30" s="106" t="str">
        <f ca="1">Declaration!B44</f>
        <v>钽(*)</v>
      </c>
      <c r="B30" s="105" t="str">
        <f>IF(AND($B$15="Yes",$B$20="Yes"),Declaration!D44,0)</f>
        <v>No</v>
      </c>
      <c r="C30" s="105" t="str">
        <f ca="1">IF(H30=1,J30,I30)</f>
        <v>填写</v>
      </c>
      <c r="D30" s="113" t="str">
        <f>IF(H30=1,"Click here to answer question 4 for Tantalum","")</f>
        <v/>
      </c>
      <c r="E30" s="87" t="s">
        <v>1437</v>
      </c>
      <c r="F30" s="110">
        <f>F25</f>
        <v>1</v>
      </c>
      <c r="G30" s="84">
        <f>IF(B30=0,1,0)</f>
        <v>0</v>
      </c>
      <c r="H30" s="85">
        <f>F30*G30</f>
        <v>0</v>
      </c>
      <c r="I30" s="181" t="str">
        <f ca="1">OFFSET(L!$C$1,MATCH("Checker"&amp;"Comp",L!$A:$A,0)-1,SL,,)</f>
        <v>填写</v>
      </c>
      <c r="J30" s="182" t="str">
        <f ca="1">OFFSET(L!$C$1,MATCH("Checker"&amp;ADDRESS(ROW(),COLUMN(),4),L!$A:$A,0)-1,SL,,)</f>
        <v>在“申报”选项卡 D44 单元格中，申报在此调查回答里申报的产品范围内所用钽是否完全来自回收料或报废料</v>
      </c>
    </row>
    <row r="31" spans="1:10" ht="39">
      <c r="A31" s="106" t="str">
        <f ca="1">Declaration!B45</f>
        <v>锡(*)</v>
      </c>
      <c r="B31" s="105" t="str">
        <f>IF(AND($B$16="Yes",$B$21="Yes"),Declaration!D45,0)</f>
        <v>No</v>
      </c>
      <c r="C31" s="105" t="str">
        <f ca="1">IF(H31=1,J31,I31)</f>
        <v>填写</v>
      </c>
      <c r="D31" s="113" t="str">
        <f>IF(H31=1,"Click here to answer question 4 for Tin","")</f>
        <v/>
      </c>
      <c r="E31" s="87" t="s">
        <v>1437</v>
      </c>
      <c r="F31" s="110">
        <f>F26</f>
        <v>1</v>
      </c>
      <c r="G31" s="84">
        <f>IF(B31=0,1,0)</f>
        <v>0</v>
      </c>
      <c r="H31" s="85">
        <f>F31*G31</f>
        <v>0</v>
      </c>
      <c r="I31" s="181" t="str">
        <f ca="1">OFFSET(L!$C$1,MATCH("Checker"&amp;"Comp",L!$A:$A,0)-1,SL,,)</f>
        <v>填写</v>
      </c>
      <c r="J31" s="182" t="str">
        <f ca="1">OFFSET(L!$C$1,MATCH("Checker"&amp;ADDRESS(ROW(),COLUMN(),4),L!$A:$A,0)-1,SL,,)</f>
        <v>在“申报”选项卡 D45 单元格中，申报在此调查回答里申报的产品范围内所用锡是否完全来自回收料或报废料</v>
      </c>
    </row>
    <row r="32" spans="1:10" ht="39">
      <c r="A32" s="106" t="str">
        <f ca="1">Declaration!B46</f>
        <v>金(*)</v>
      </c>
      <c r="B32" s="105" t="str">
        <f>IF(AND($B$17="Yes",$B$22="Yes"),Declaration!D46,0)</f>
        <v>No</v>
      </c>
      <c r="C32" s="105" t="str">
        <f ca="1">IF(H32=1,J32,I32)</f>
        <v>填写</v>
      </c>
      <c r="D32" s="113" t="str">
        <f>IF(H32=1,"Click here to answer question 4 for Gold","")</f>
        <v/>
      </c>
      <c r="E32" s="87" t="s">
        <v>1437</v>
      </c>
      <c r="F32" s="110">
        <f>F27</f>
        <v>1</v>
      </c>
      <c r="G32" s="84">
        <f>IF(B32=0,1,0)</f>
        <v>0</v>
      </c>
      <c r="H32" s="85">
        <f>F32*G32</f>
        <v>0</v>
      </c>
      <c r="I32" s="181" t="str">
        <f ca="1">OFFSET(L!$C$1,MATCH("Checker"&amp;"Comp",L!$A:$A,0)-1,SL,,)</f>
        <v>填写</v>
      </c>
      <c r="J32" s="182" t="str">
        <f ca="1">OFFSET(L!$C$1,MATCH("Checker"&amp;ADDRESS(ROW(),COLUMN(),4),L!$A:$A,0)-1,SL,,)</f>
        <v>在“申报”选项卡 D46 单元格中，申报在此调查回答里申报的产品范围内所用金是否完全来自回收料或报废料</v>
      </c>
    </row>
    <row r="33" spans="1:10" ht="39">
      <c r="A33" s="106" t="str">
        <f ca="1">Declaration!B47</f>
        <v>钨</v>
      </c>
      <c r="B33" s="105">
        <f>IF(AND($B$18="Yes",$B$23="Yes"),Declaration!D47,0)</f>
        <v>0</v>
      </c>
      <c r="C33" s="105" t="str">
        <f ca="1">IF(H33=1,J33,I33)</f>
        <v>填写</v>
      </c>
      <c r="D33" s="113" t="str">
        <f>IF(H33=1,"Click here to answer question 4 for Tungsten","")</f>
        <v/>
      </c>
      <c r="E33" s="87" t="s">
        <v>1437</v>
      </c>
      <c r="F33" s="110">
        <f>F28</f>
        <v>0</v>
      </c>
      <c r="G33" s="84">
        <f>IF(B33=0,1,0)</f>
        <v>1</v>
      </c>
      <c r="H33" s="85">
        <f>F33*G33</f>
        <v>0</v>
      </c>
      <c r="I33" s="181" t="str">
        <f ca="1">OFFSET(L!$C$1,MATCH("Checker"&amp;"Comp",L!$A:$A,0)-1,SL,,)</f>
        <v>填写</v>
      </c>
      <c r="J33" s="182" t="str">
        <f ca="1">OFFSET(L!$C$1,MATCH("Checker"&amp;ADDRESS(ROW(),COLUMN(),4),L!$A:$A,0)-1,SL,,)</f>
        <v>在“申报”选项卡 D46 单元格中，申报在此调查回答里申报的产品范围内所用钨是否完全来自回收料或报废料</v>
      </c>
    </row>
    <row r="34" spans="1:10" ht="38.25">
      <c r="A34" s="105" t="str">
        <f ca="1">Declaration!B49</f>
        <v>5) 已对贵公司供应链调查提供答复的相关供应商百分比是多少？ (*)</v>
      </c>
      <c r="B34" s="108"/>
      <c r="C34" s="108"/>
      <c r="D34" s="112"/>
      <c r="E34" s="87" t="s">
        <v>918</v>
      </c>
      <c r="F34" s="109"/>
      <c r="G34" s="24"/>
      <c r="H34" s="24"/>
    </row>
    <row r="35" spans="1:10" ht="26.25">
      <c r="A35" s="106" t="str">
        <f ca="1">Declaration!B50</f>
        <v>钽(*)</v>
      </c>
      <c r="B35" s="105">
        <f>IF(AND($B$15="Yes",$B$20="Yes"),Declaration!D50,0)</f>
        <v>1</v>
      </c>
      <c r="C35" s="105" t="str">
        <f t="shared" ca="1" si="3"/>
        <v>填写</v>
      </c>
      <c r="D35" s="111" t="str">
        <f>IF(H35=1,"Click here to answer question 5 for Tantalum","")</f>
        <v/>
      </c>
      <c r="E35" s="87" t="s">
        <v>917</v>
      </c>
      <c r="F35" s="110">
        <f>F25</f>
        <v>1</v>
      </c>
      <c r="G35" s="84">
        <f t="shared" si="5"/>
        <v>0</v>
      </c>
      <c r="H35" s="85">
        <f t="shared" si="6"/>
        <v>0</v>
      </c>
      <c r="I35" s="181" t="str">
        <f ca="1">OFFSET(L!$C$1,MATCH("Checker"&amp;"Comp",L!$A:$A,0)-1,SL,,)</f>
        <v>填写</v>
      </c>
      <c r="J35" s="22" t="str">
        <f ca="1">OFFSET(L!$C$1,MATCH("Checker"&amp;ADDRESS(ROW(),COLUMN(),4),L!$A:$A,0)-1,SL,,)</f>
        <v>在“申报”选项卡 D50 单元格中，提供供应商的冶炼厂信息填写百分比</v>
      </c>
    </row>
    <row r="36" spans="1:10" ht="26.25">
      <c r="A36" s="106" t="str">
        <f ca="1">Declaration!B51</f>
        <v>锡(*)</v>
      </c>
      <c r="B36" s="105">
        <f>IF(AND($B$16="Yes",$B$21="Yes"),Declaration!D51,0)</f>
        <v>1</v>
      </c>
      <c r="C36" s="105" t="str">
        <f ca="1">IF(H36=1,J36,I36)</f>
        <v>填写</v>
      </c>
      <c r="D36" s="111" t="str">
        <f>IF(H36=1,"Click here to answer question 5 for Tin","")</f>
        <v/>
      </c>
      <c r="E36" s="87" t="s">
        <v>917</v>
      </c>
      <c r="F36" s="110">
        <f>F26</f>
        <v>1</v>
      </c>
      <c r="G36" s="84">
        <f t="shared" si="5"/>
        <v>0</v>
      </c>
      <c r="H36" s="85">
        <f t="shared" si="6"/>
        <v>0</v>
      </c>
      <c r="I36" s="181" t="str">
        <f ca="1">OFFSET(L!$C$1,MATCH("Checker"&amp;"Comp",L!$A:$A,0)-1,SL,,)</f>
        <v>填写</v>
      </c>
      <c r="J36" s="22" t="str">
        <f ca="1">OFFSET(L!$C$1,MATCH("Checker"&amp;ADDRESS(ROW(),COLUMN(),4),L!$A:$A,0)-1,SL,,)</f>
        <v>在“申报”选项卡 D51 单元格中，提供供应商的冶炼厂信息填写百分比</v>
      </c>
    </row>
    <row r="37" spans="1:10" ht="26.25">
      <c r="A37" s="106" t="str">
        <f ca="1">Declaration!B52</f>
        <v>金(*)</v>
      </c>
      <c r="B37" s="105">
        <f>IF(AND($B$17="Yes",$B$22="Yes"),Declaration!D52,0)</f>
        <v>1</v>
      </c>
      <c r="C37" s="105" t="str">
        <f t="shared" ca="1" si="3"/>
        <v>填写</v>
      </c>
      <c r="D37" s="111" t="str">
        <f>IF(H37=1,"Click here to answer question 5 for Gold","")</f>
        <v/>
      </c>
      <c r="E37" s="87" t="s">
        <v>917</v>
      </c>
      <c r="F37" s="110">
        <f>F27</f>
        <v>1</v>
      </c>
      <c r="G37" s="84">
        <f t="shared" si="5"/>
        <v>0</v>
      </c>
      <c r="H37" s="85">
        <f t="shared" si="6"/>
        <v>0</v>
      </c>
      <c r="I37" s="181" t="str">
        <f ca="1">OFFSET(L!$C$1,MATCH("Checker"&amp;"Comp",L!$A:$A,0)-1,SL,,)</f>
        <v>填写</v>
      </c>
      <c r="J37" s="22" t="str">
        <f ca="1">OFFSET(L!$C$1,MATCH("Checker"&amp;ADDRESS(ROW(),COLUMN(),4),L!$A:$A,0)-1,SL,,)</f>
        <v>在“申报”选项卡 D52 单元格中，提供供应商的冶炼厂信息填写百分比</v>
      </c>
    </row>
    <row r="38" spans="1:10" ht="26.25">
      <c r="A38" s="106" t="str">
        <f ca="1">Declaration!B53</f>
        <v>钨</v>
      </c>
      <c r="B38" s="105">
        <f>IF(AND($B$18="Yes",$B$23="Yes"),Declaration!D53,0)</f>
        <v>0</v>
      </c>
      <c r="C38" s="105" t="str">
        <f t="shared" ca="1" si="3"/>
        <v>填写</v>
      </c>
      <c r="D38" s="111" t="str">
        <f>IF(H38=1,"Click here to answer question 5 for Tungsten","")</f>
        <v/>
      </c>
      <c r="E38" s="87" t="s">
        <v>917</v>
      </c>
      <c r="F38" s="110">
        <f>F28</f>
        <v>0</v>
      </c>
      <c r="G38" s="84">
        <f t="shared" si="5"/>
        <v>1</v>
      </c>
      <c r="H38" s="85">
        <f t="shared" si="6"/>
        <v>0</v>
      </c>
      <c r="I38" s="181" t="str">
        <f ca="1">OFFSET(L!$C$1,MATCH("Checker"&amp;"Comp",L!$A:$A,0)-1,SL,,)</f>
        <v>填写</v>
      </c>
      <c r="J38" s="22" t="str">
        <f ca="1">OFFSET(L!$C$1,MATCH("Checker"&amp;ADDRESS(ROW(),COLUMN(),4),L!$A:$A,0)-1,SL,,)</f>
        <v>在“申报”选项卡 D53 单元格中，提供供应商的冶炼厂信息填写百分比</v>
      </c>
    </row>
    <row r="39" spans="1:10" ht="51">
      <c r="A39" s="105" t="str">
        <f ca="1">Declaration!B55</f>
        <v>6) 您是否识别出为贵公司供应链供应 3TG 的所有冶炼厂？ (*)</v>
      </c>
      <c r="B39" s="108"/>
      <c r="C39" s="108"/>
      <c r="D39" s="112"/>
      <c r="E39" s="87" t="s">
        <v>919</v>
      </c>
      <c r="F39" s="109"/>
      <c r="G39" s="24"/>
      <c r="H39" s="24"/>
    </row>
    <row r="40" spans="1:10" ht="51.75">
      <c r="A40" s="106" t="str">
        <f ca="1">Declaration!B56</f>
        <v>钽(*)</v>
      </c>
      <c r="B40" s="105" t="str">
        <f>IF(AND($B$15="Yes",$B$20="Yes"),Declaration!D56,0)</f>
        <v>Yes</v>
      </c>
      <c r="C40" s="105" t="str">
        <f t="shared" ca="1" si="3"/>
        <v>填写</v>
      </c>
      <c r="D40" s="113" t="str">
        <f>IF(H40=1,"Click here to answer question 6 for Tantalum","")</f>
        <v/>
      </c>
      <c r="E40" s="87" t="s">
        <v>1433</v>
      </c>
      <c r="F40" s="110">
        <f>F25</f>
        <v>1</v>
      </c>
      <c r="G40" s="84">
        <f t="shared" si="5"/>
        <v>0</v>
      </c>
      <c r="H40" s="85">
        <f t="shared" si="6"/>
        <v>0</v>
      </c>
      <c r="I40" s="181" t="str">
        <f ca="1">OFFSET(L!$C$1,MATCH("Checker"&amp;"Comp",L!$A:$A,0)-1,SL,,)</f>
        <v>填写</v>
      </c>
      <c r="J40" s="22" t="str">
        <f ca="1">OFFSET(L!$C$1,MATCH("Checker"&amp;ADDRESS(ROW(),COLUMN(),4),L!$A:$A,0)-1,SL,,)</f>
        <v>在“申报”选项卡 D56 单元格中，申报是否在此调查回答里的申报产品范围下方提供了所有冶炼厂名称</v>
      </c>
    </row>
    <row r="41" spans="1:10" ht="51.75">
      <c r="A41" s="106" t="str">
        <f ca="1">Declaration!B57</f>
        <v>锡(*)</v>
      </c>
      <c r="B41" s="105" t="str">
        <f>IF(AND($B$16="Yes",$B$21="Yes"),Declaration!D57,0)</f>
        <v>Yes</v>
      </c>
      <c r="C41" s="105" t="str">
        <f t="shared" ca="1" si="3"/>
        <v>填写</v>
      </c>
      <c r="D41" s="113" t="str">
        <f>IF(H41=1,"Click here to answer question 6 for Tin","")</f>
        <v/>
      </c>
      <c r="E41" s="87" t="s">
        <v>1433</v>
      </c>
      <c r="F41" s="110">
        <f>F26</f>
        <v>1</v>
      </c>
      <c r="G41" s="84">
        <f t="shared" si="5"/>
        <v>0</v>
      </c>
      <c r="H41" s="85">
        <f t="shared" si="6"/>
        <v>0</v>
      </c>
      <c r="I41" s="181" t="str">
        <f ca="1">OFFSET(L!$C$1,MATCH("Checker"&amp;"Comp",L!$A:$A,0)-1,SL,,)</f>
        <v>填写</v>
      </c>
      <c r="J41" s="22" t="str">
        <f ca="1">OFFSET(L!$C$1,MATCH("Checker"&amp;ADDRESS(ROW(),COLUMN(),4),L!$A:$A,0)-1,SL,,)</f>
        <v>在“申报”选项卡 D57 单元格中，申报是否在此调查回答里的申报产品范围下方提供了所有冶炼厂名称</v>
      </c>
    </row>
    <row r="42" spans="1:10" ht="51.75">
      <c r="A42" s="106" t="str">
        <f ca="1">Declaration!B58</f>
        <v>金(*)</v>
      </c>
      <c r="B42" s="105" t="str">
        <f>IF(AND($B$17="Yes",$B$22="Yes"),Declaration!D58,0)</f>
        <v>Yes</v>
      </c>
      <c r="C42" s="105" t="str">
        <f t="shared" ca="1" si="3"/>
        <v>填写</v>
      </c>
      <c r="D42" s="113" t="str">
        <f>IF(H42=1,"Click here to answer question 6 for Gold","")</f>
        <v/>
      </c>
      <c r="E42" s="87" t="s">
        <v>1433</v>
      </c>
      <c r="F42" s="110">
        <f>F27</f>
        <v>1</v>
      </c>
      <c r="G42" s="84">
        <f t="shared" si="5"/>
        <v>0</v>
      </c>
      <c r="H42" s="85">
        <f t="shared" si="6"/>
        <v>0</v>
      </c>
      <c r="I42" s="181" t="str">
        <f ca="1">OFFSET(L!$C$1,MATCH("Checker"&amp;"Comp",L!$A:$A,0)-1,SL,,)</f>
        <v>填写</v>
      </c>
      <c r="J42" s="22" t="str">
        <f ca="1">OFFSET(L!$C$1,MATCH("Checker"&amp;ADDRESS(ROW(),COLUMN(),4),L!$A:$A,0)-1,SL,,)</f>
        <v>在“申报”选项卡 D58 单元格中，申报是否在此调查回答里的申报产品范围下方提供了所有冶炼厂名称</v>
      </c>
    </row>
    <row r="43" spans="1:10" ht="51.75">
      <c r="A43" s="106" t="str">
        <f ca="1">Declaration!B59</f>
        <v>钨</v>
      </c>
      <c r="B43" s="105">
        <f>IF(AND($B$18="Yes",$B$23="Yes"),Declaration!D59,0)</f>
        <v>0</v>
      </c>
      <c r="C43" s="105" t="str">
        <f t="shared" ca="1" si="3"/>
        <v>填写</v>
      </c>
      <c r="D43" s="113" t="str">
        <f>IF(H43=1,"Click here to answer question 6 for Tungsten","")</f>
        <v/>
      </c>
      <c r="E43" s="87" t="s">
        <v>1433</v>
      </c>
      <c r="F43" s="110">
        <f>F28</f>
        <v>0</v>
      </c>
      <c r="G43" s="84">
        <f t="shared" si="5"/>
        <v>1</v>
      </c>
      <c r="H43" s="85">
        <f t="shared" si="6"/>
        <v>0</v>
      </c>
      <c r="I43" s="181" t="str">
        <f ca="1">OFFSET(L!$C$1,MATCH("Checker"&amp;"Comp",L!$A:$A,0)-1,SL,,)</f>
        <v>填写</v>
      </c>
      <c r="J43" s="22" t="str">
        <f ca="1">OFFSET(L!$C$1,MATCH("Checker"&amp;ADDRESS(ROW(),COLUMN(),4),L!$A:$A,0)-1,SL,,)</f>
        <v>在“申报”选项卡 D59 单元格中，申报是否在此调查回答里的申报产品范围下方提供了所有冶炼厂名称</v>
      </c>
    </row>
    <row r="44" spans="1:10" ht="63.75">
      <c r="A44" s="105" t="str">
        <f ca="1">Declaration!B61</f>
        <v>7) 贵公司收到的所有适用冶炼厂信息是否已在此申报中报告？ (*)</v>
      </c>
      <c r="B44" s="108"/>
      <c r="C44" s="108"/>
      <c r="D44" s="112"/>
      <c r="E44" s="87" t="s">
        <v>920</v>
      </c>
      <c r="F44" s="109"/>
      <c r="G44" s="24"/>
      <c r="H44" s="24"/>
    </row>
    <row r="45" spans="1:10" ht="39">
      <c r="A45" s="106" t="str">
        <f ca="1">Declaration!B62</f>
        <v>钽(*)</v>
      </c>
      <c r="B45" s="105" t="str">
        <f>IF(AND($B$15="Yes",$B$20="Yes"),Declaration!D62,0)</f>
        <v>Yes</v>
      </c>
      <c r="C45" s="105" t="str">
        <f t="shared" ca="1" si="3"/>
        <v>填写</v>
      </c>
      <c r="D45" s="114" t="str">
        <f>IF(H45=1,"Click here to answer question 7 for Tantalum","")</f>
        <v/>
      </c>
      <c r="E45" s="87" t="s">
        <v>918</v>
      </c>
      <c r="F45" s="110">
        <f>F25</f>
        <v>1</v>
      </c>
      <c r="G45" s="84">
        <f t="shared" si="5"/>
        <v>0</v>
      </c>
      <c r="H45" s="85">
        <f t="shared" si="6"/>
        <v>0</v>
      </c>
      <c r="I45" s="181" t="str">
        <f ca="1">OFFSET(L!$C$1,MATCH("Checker"&amp;"Comp",L!$A:$A,0)-1,SL,,)</f>
        <v>填写</v>
      </c>
      <c r="J45" s="22" t="str">
        <f ca="1">OFFSET(L!$C$1,MATCH("Checker"&amp;ADDRESS(ROW(),COLUMN(),4),L!$A:$A,0)-1,SL,,)</f>
        <v>在“申报”选项卡 D62 单元格中，申报是否已提供所有适用钽冶炼厂信息</v>
      </c>
    </row>
    <row r="46" spans="1:10" ht="39">
      <c r="A46" s="106" t="str">
        <f ca="1">Declaration!B63</f>
        <v>锡(*)</v>
      </c>
      <c r="B46" s="105" t="str">
        <f>IF(AND($B$16="Yes",$B$21="Yes"),Declaration!D63,0)</f>
        <v>Yes</v>
      </c>
      <c r="C46" s="105" t="str">
        <f t="shared" ca="1" si="3"/>
        <v>填写</v>
      </c>
      <c r="D46" s="114" t="str">
        <f>IF(H46=1,"Click here to answer question 7 for Tin","")</f>
        <v/>
      </c>
      <c r="E46" s="87" t="s">
        <v>918</v>
      </c>
      <c r="F46" s="110">
        <f>F26</f>
        <v>1</v>
      </c>
      <c r="G46" s="84">
        <f t="shared" si="5"/>
        <v>0</v>
      </c>
      <c r="H46" s="85">
        <f t="shared" si="6"/>
        <v>0</v>
      </c>
      <c r="I46" s="181" t="str">
        <f ca="1">OFFSET(L!$C$1,MATCH("Checker"&amp;"Comp",L!$A:$A,0)-1,SL,,)</f>
        <v>填写</v>
      </c>
      <c r="J46" s="22" t="str">
        <f ca="1">OFFSET(L!$C$1,MATCH("Checker"&amp;ADDRESS(ROW(),COLUMN(),4),L!$A:$A,0)-1,SL,,)</f>
        <v>在“申报”选项卡 D63 单元格中，申报是否已提供所有适用锡冶炼厂信息</v>
      </c>
    </row>
    <row r="47" spans="1:10" ht="39">
      <c r="A47" s="106" t="str">
        <f ca="1">Declaration!B64</f>
        <v>金(*)</v>
      </c>
      <c r="B47" s="105" t="str">
        <f>IF(AND($B$17="Yes",$B$22="Yes"),Declaration!D64,0)</f>
        <v>Yes</v>
      </c>
      <c r="C47" s="105" t="str">
        <f t="shared" ca="1" si="3"/>
        <v>填写</v>
      </c>
      <c r="D47" s="114" t="str">
        <f>IF(H47=1,"Click here to answer question 7 for Gold","")</f>
        <v/>
      </c>
      <c r="E47" s="87" t="s">
        <v>918</v>
      </c>
      <c r="F47" s="110">
        <f>F27</f>
        <v>1</v>
      </c>
      <c r="G47" s="84">
        <f t="shared" si="5"/>
        <v>0</v>
      </c>
      <c r="H47" s="85">
        <f t="shared" si="6"/>
        <v>0</v>
      </c>
      <c r="I47" s="181" t="str">
        <f ca="1">OFFSET(L!$C$1,MATCH("Checker"&amp;"Comp",L!$A:$A,0)-1,SL,,)</f>
        <v>填写</v>
      </c>
      <c r="J47" s="22" t="str">
        <f ca="1">OFFSET(L!$C$1,MATCH("Checker"&amp;ADDRESS(ROW(),COLUMN(),4),L!$A:$A,0)-1,SL,,)</f>
        <v>在“申报”选项卡 D64 单元格中，申报是否已提供所有适用金冶炼厂信息</v>
      </c>
    </row>
    <row r="48" spans="1:10" ht="39">
      <c r="A48" s="106" t="str">
        <f ca="1">Declaration!B65</f>
        <v>钨</v>
      </c>
      <c r="B48" s="105">
        <f>IF(AND($B$18="Yes",$B$23="Yes"),Declaration!D65,0)</f>
        <v>0</v>
      </c>
      <c r="C48" s="105" t="str">
        <f t="shared" ca="1" si="3"/>
        <v>填写</v>
      </c>
      <c r="D48" s="114" t="str">
        <f>IF(H48=1,"Click here to answer question 7 for Tungsten","")</f>
        <v/>
      </c>
      <c r="E48" s="87" t="s">
        <v>918</v>
      </c>
      <c r="F48" s="110">
        <f>F28</f>
        <v>0</v>
      </c>
      <c r="G48" s="84">
        <f t="shared" si="5"/>
        <v>1</v>
      </c>
      <c r="H48" s="85">
        <f t="shared" si="6"/>
        <v>0</v>
      </c>
      <c r="I48" s="181" t="str">
        <f ca="1">OFFSET(L!$C$1,MATCH("Checker"&amp;"Comp",L!$A:$A,0)-1,SL,,)</f>
        <v>填写</v>
      </c>
      <c r="J48" s="22" t="str">
        <f ca="1">OFFSET(L!$C$1,MATCH("Checker"&amp;ADDRESS(ROW(),COLUMN(),4),L!$A:$A,0)-1,SL,,)</f>
        <v>在“申报”选项卡 D65 单元格中，申报是否已提供所有适用钨冶炼厂信息</v>
      </c>
    </row>
    <row r="49" spans="1:12" ht="25.5">
      <c r="A49" s="105" t="str">
        <f ca="1">Declaration!B68</f>
        <v>问题</v>
      </c>
      <c r="B49" s="108"/>
      <c r="C49" s="108"/>
      <c r="D49" s="112"/>
      <c r="E49" s="87" t="s">
        <v>509</v>
      </c>
      <c r="F49" s="109"/>
      <c r="G49" s="109"/>
      <c r="H49" s="109"/>
    </row>
    <row r="50" spans="1:12" ht="39">
      <c r="A50" s="105" t="str">
        <f ca="1">Declaration!B69</f>
        <v>A. 贵公司是否已制定冲突矿产采购政策？ (*)</v>
      </c>
      <c r="B50" s="105" t="str">
        <f>Declaration!D69</f>
        <v>Yes</v>
      </c>
      <c r="C50" s="105" t="str">
        <f t="shared" ca="1" si="3"/>
        <v>填写</v>
      </c>
      <c r="D50" s="111" t="str">
        <f>IF(H50=1,"Click here to answer question (A)","")</f>
        <v/>
      </c>
      <c r="E50" s="87" t="s">
        <v>1437</v>
      </c>
      <c r="F50" s="110">
        <f>IF(SUM(F$25:F$28)=0,0,1)</f>
        <v>1</v>
      </c>
      <c r="G50" s="84">
        <f t="shared" si="5"/>
        <v>0</v>
      </c>
      <c r="H50" s="85">
        <f t="shared" si="6"/>
        <v>0</v>
      </c>
      <c r="I50" s="181" t="str">
        <f ca="1">OFFSET(L!$C$1,MATCH("Checker"&amp;"Comp",L!$A:$A,0)-1,SL,,)</f>
        <v>填写</v>
      </c>
      <c r="J50" s="22" t="str">
        <f ca="1">OFFSET(L!$C$1,MATCH("Checker"&amp;ADDRESS(ROW(),COLUMN(),4),L!$A:$A,0)-1,SL,,)</f>
        <v>在“申报”选项卡 D69 单元格中，回答贵公司是否制定了不使用刚果民主共和国涉及冲突之冲突矿产的采购政策</v>
      </c>
    </row>
    <row r="51" spans="1:12" ht="54.75" customHeight="1">
      <c r="A51" s="105" t="str">
        <f ca="1">Declaration!B71</f>
        <v>B. 贵公司的冲突矿产采购政策是否公开发布于贵公司网页上？（备注 - 如果是，请在注释字段中注明 URL。） (*)</v>
      </c>
      <c r="B51" s="105" t="str">
        <f>Declaration!D71</f>
        <v>Yes</v>
      </c>
      <c r="C51" s="105" t="str">
        <f t="shared" ca="1" si="3"/>
        <v>填写</v>
      </c>
      <c r="D51" s="111" t="str">
        <f>IF(H51=1,"Click here to answer question (B)","")</f>
        <v/>
      </c>
      <c r="E51" s="87" t="s">
        <v>1437</v>
      </c>
      <c r="F51" s="110">
        <f t="shared" ref="F51:F60" si="7">F$50</f>
        <v>1</v>
      </c>
      <c r="G51" s="84">
        <f t="shared" si="5"/>
        <v>0</v>
      </c>
      <c r="H51" s="85">
        <f t="shared" si="6"/>
        <v>0</v>
      </c>
      <c r="I51" s="181" t="str">
        <f ca="1">OFFSET(L!$C$1,MATCH("Checker"&amp;"Comp",L!$A:$A,0)-1,SL,,)</f>
        <v>填写</v>
      </c>
      <c r="J51" s="22" t="str">
        <f ca="1">OFFSET(L!$C$1,MATCH("Checker"&amp;ADDRESS(ROW(),COLUMN(),4),L!$A:$A,0)-1,SL,,)</f>
        <v>在“申报”选项卡 D71 单元格中，回答贵公司是否在贵公司的网站上公开发布不使用刚果民主共和国涉及冲突之冲突矿产的采购政策</v>
      </c>
    </row>
    <row r="52" spans="1:12" ht="38.450000000000003" customHeight="1">
      <c r="A52" s="105" t="s">
        <v>6</v>
      </c>
      <c r="B52" s="105" t="str">
        <f>Declaration!G71</f>
        <v>http://www.zettlercn.com/</v>
      </c>
      <c r="C52" s="105" t="str">
        <f ca="1">IF(H52=1,J52,I52)</f>
        <v>填写</v>
      </c>
      <c r="D52" s="111" t="str">
        <f>IF(H52=1,"Click here to specify URL for question (B)","")</f>
        <v/>
      </c>
      <c r="E52" s="87"/>
      <c r="F52" s="110">
        <f>IF(AND(F51=1,B51="Yes"),1,0)</f>
        <v>1</v>
      </c>
      <c r="G52" s="84">
        <f>IF(LEN(B52)&gt;1,0,1)</f>
        <v>0</v>
      </c>
      <c r="H52" s="85">
        <f t="shared" si="6"/>
        <v>0</v>
      </c>
      <c r="I52" s="181" t="str">
        <f ca="1">OFFSET(L!$C$1,MATCH("Checker"&amp;"Comp",L!$A:$A,0)-1,SL,,)</f>
        <v>填写</v>
      </c>
      <c r="J52" s="174" t="str">
        <f ca="1">OFFSET(L!$C$1,MATCH("Checker"&amp;ADDRESS(ROW(),COLUMN(),4),L!$A:$A,0)-1,SL,,)</f>
        <v xml:space="preserve">如果问题 B 的答案为“是”，则请在“申报”工作表 G71 单元格中输入 URL。URL 的格式应为“www.companyname.com” </v>
      </c>
    </row>
    <row r="53" spans="1:12" ht="39">
      <c r="A53" s="105" t="str">
        <f ca="1">Declaration!B73</f>
        <v>C. 您是否要求你的直接供应商不使用来自刚果民主共和国的涉及冲突之冲突矿产？ (*)</v>
      </c>
      <c r="B53" s="105" t="str">
        <f>Declaration!D73</f>
        <v>Yes</v>
      </c>
      <c r="C53" s="105" t="str">
        <f t="shared" ca="1" si="3"/>
        <v>填写</v>
      </c>
      <c r="D53" s="111" t="str">
        <f>IF(H53=1,"Click here to answer question (C)","")</f>
        <v/>
      </c>
      <c r="E53" s="87" t="s">
        <v>1437</v>
      </c>
      <c r="F53" s="110">
        <f t="shared" si="7"/>
        <v>1</v>
      </c>
      <c r="G53" s="84">
        <f t="shared" si="5"/>
        <v>0</v>
      </c>
      <c r="H53" s="85">
        <f t="shared" si="6"/>
        <v>0</v>
      </c>
      <c r="I53" s="181" t="str">
        <f ca="1">OFFSET(L!$C$1,MATCH("Checker"&amp;"Comp",L!$A:$A,0)-1,SL,,)</f>
        <v>填写</v>
      </c>
      <c r="J53" s="22" t="str">
        <f ca="1">OFFSET(L!$C$1,MATCH("Checker"&amp;ADDRESS(ROW(),COLUMN(),4),L!$A:$A,0)-1,SL,,)</f>
        <v>在“申报”选项卡 D73 单元格中，回答贵公司是否要求直接供应不使用来自刚果民主共和国的涉及冲突之冲突矿产</v>
      </c>
    </row>
    <row r="54" spans="1:12" ht="51">
      <c r="A54" s="105" t="str">
        <f ca="1">Declaration!B75</f>
        <v>D. 您是否要求您的直接供应商从其尽职调查实践已被被独立第三方审核机构验证过的冶炼厂采购 3TG？  (*)</v>
      </c>
      <c r="B54" s="105" t="str">
        <f>Declaration!D75</f>
        <v>Yes</v>
      </c>
      <c r="C54" s="105" t="str">
        <f ca="1">IF(H54=1,J54,I54)</f>
        <v>填写</v>
      </c>
      <c r="D54" s="111" t="str">
        <f>IF(H54=1,"Click here to answer question (D)","")</f>
        <v/>
      </c>
      <c r="E54" s="87" t="s">
        <v>1437</v>
      </c>
      <c r="F54" s="110">
        <f t="shared" si="7"/>
        <v>1</v>
      </c>
      <c r="G54" s="84">
        <f t="shared" si="5"/>
        <v>0</v>
      </c>
      <c r="H54" s="85">
        <f t="shared" si="6"/>
        <v>0</v>
      </c>
      <c r="I54" s="181" t="str">
        <f ca="1">OFFSET(L!$C$1,MATCH("Checker"&amp;"Comp",L!$A:$A,0)-1,SL,,)</f>
        <v>填写</v>
      </c>
      <c r="J54" s="22" t="str">
        <f ca="1">OFFSET(L!$C$1,MATCH("Checker"&amp;ADDRESS(ROW(),COLUMN(),4),L!$A:$A,0)-1,SL,,)</f>
        <v>在“申报”选项卡 D75 单元格中，回答贵公司是否要求直接供应商从使用负责任矿物审验流程合规冶炼厂列表验证为刚果民主共和国无冲突的冲突矿产</v>
      </c>
    </row>
    <row r="55" spans="1:12" ht="39">
      <c r="A55" s="105" t="str">
        <f ca="1">Declaration!B77</f>
        <v>E. 贵公司是否已实施无冲突矿产采购的尽职调查措施？ (*)</v>
      </c>
      <c r="B55" s="105" t="str">
        <f>Declaration!D77</f>
        <v>Yes</v>
      </c>
      <c r="C55" s="105" t="str">
        <f t="shared" ca="1" si="3"/>
        <v>填写</v>
      </c>
      <c r="D55" s="111" t="str">
        <f>IF(H55=1,"Click here to answer question (E)","")</f>
        <v/>
      </c>
      <c r="E55" s="87" t="s">
        <v>1437</v>
      </c>
      <c r="F55" s="110">
        <f t="shared" si="7"/>
        <v>1</v>
      </c>
      <c r="G55" s="84">
        <f t="shared" si="5"/>
        <v>0</v>
      </c>
      <c r="H55" s="85">
        <f t="shared" si="6"/>
        <v>0</v>
      </c>
      <c r="I55" s="181" t="str">
        <f ca="1">OFFSET(L!$C$1,MATCH("Checker"&amp;"Comp",L!$A:$A,0)-1,SL,,)</f>
        <v>填写</v>
      </c>
      <c r="J55" s="22" t="str">
        <f ca="1">OFFSET(L!$C$1,MATCH("Checker"&amp;ADDRESS(ROW(),COLUMN(),4),L!$A:$A,0)-1,SL,,)</f>
        <v>在“申报”选项卡 D77 单元格中，回答贵公司是否已实施无冲突矿产采购尽职调查措施</v>
      </c>
    </row>
    <row r="56" spans="1:12" ht="39">
      <c r="A56" s="105" t="str">
        <f ca="1">Declaration!B79</f>
        <v>F. 贵公司是否开展了相关供应商的冲突矿产调查？ (*)</v>
      </c>
      <c r="B56" s="105" t="str">
        <f>Declaration!D79</f>
        <v>Yes, in conformance with IPC1755 (e.g., CMRT)</v>
      </c>
      <c r="C56" s="105" t="str">
        <f t="shared" ca="1" si="3"/>
        <v>填写</v>
      </c>
      <c r="D56" s="111" t="str">
        <f>IF(H56=1,"Click here to answer question (F)","")</f>
        <v/>
      </c>
      <c r="E56" s="87" t="s">
        <v>1437</v>
      </c>
      <c r="F56" s="110">
        <f t="shared" si="7"/>
        <v>1</v>
      </c>
      <c r="G56" s="84">
        <f t="shared" si="5"/>
        <v>0</v>
      </c>
      <c r="H56" s="85">
        <f t="shared" si="6"/>
        <v>0</v>
      </c>
      <c r="I56" s="181" t="str">
        <f ca="1">OFFSET(L!$C$1,MATCH("Checker"&amp;"Comp",L!$A:$A,0)-1,SL,,)</f>
        <v>填写</v>
      </c>
      <c r="J56" s="22" t="str">
        <f ca="1">OFFSET(L!$C$1,MATCH("Checker"&amp;ADDRESS(ROW(),COLUMN(),4),L!$A:$A,0)-1,SL,,)</f>
        <v>在“申报”选项卡 D79 单元格中，回答贵公司是否要求供应商填写此“冲突矿产报告模板”</v>
      </c>
    </row>
    <row r="57" spans="1:12" ht="15" hidden="1">
      <c r="A57" s="105"/>
      <c r="B57" s="105"/>
      <c r="C57" s="105"/>
      <c r="D57" s="111"/>
      <c r="E57" s="87"/>
      <c r="F57" s="110"/>
      <c r="G57" s="84"/>
      <c r="H57" s="85"/>
      <c r="I57" s="181"/>
    </row>
    <row r="58" spans="1:12" ht="39">
      <c r="A58" s="105" t="str">
        <f ca="1">Declaration!B81</f>
        <v>G. 贵公司是否根据公司期望来审查供应商提交的尽职调查信息？ (*)</v>
      </c>
      <c r="B58" s="105" t="str">
        <f>Declaration!D81</f>
        <v>Yes</v>
      </c>
      <c r="C58" s="105" t="str">
        <f t="shared" ca="1" si="3"/>
        <v>填写</v>
      </c>
      <c r="D58" s="111" t="str">
        <f>IF(H58=1,"Click here to answer question (G)","")</f>
        <v/>
      </c>
      <c r="E58" s="87" t="s">
        <v>1437</v>
      </c>
      <c r="F58" s="110">
        <f t="shared" si="7"/>
        <v>1</v>
      </c>
      <c r="G58" s="84">
        <f t="shared" si="5"/>
        <v>0</v>
      </c>
      <c r="H58" s="85">
        <f t="shared" si="6"/>
        <v>0</v>
      </c>
      <c r="I58" s="181" t="str">
        <f ca="1">OFFSET(L!$C$1,MATCH("Checker"&amp;"Comp",L!$A:$A,0)-1,SL,,)</f>
        <v>填写</v>
      </c>
      <c r="J58" s="22" t="str">
        <f ca="1">OFFSET(L!$C$1,MATCH("Checker"&amp;ADDRESS(ROW(),COLUMN(),4),L!$A:$A,0)-1,SL,,)</f>
        <v>在“申报”选项卡 D83 单元格中，回答贵公司是否根据贵公司的期望来验证供应商的回答</v>
      </c>
    </row>
    <row r="59" spans="1:12" ht="39">
      <c r="A59" s="105" t="str">
        <f ca="1">Declaration!B83</f>
        <v>H. 贵公司的验证程序是否包括纠正措施管理？ (*)</v>
      </c>
      <c r="B59" s="105" t="str">
        <f>Declaration!D83</f>
        <v>Yes</v>
      </c>
      <c r="C59" s="105" t="str">
        <f t="shared" ca="1" si="3"/>
        <v>填写</v>
      </c>
      <c r="D59" s="111" t="str">
        <f>IF(H59=1,"Click here to answer question (H)","")</f>
        <v/>
      </c>
      <c r="E59" s="87" t="s">
        <v>1437</v>
      </c>
      <c r="F59" s="110">
        <f t="shared" si="7"/>
        <v>1</v>
      </c>
      <c r="G59" s="84">
        <f t="shared" si="5"/>
        <v>0</v>
      </c>
      <c r="H59" s="85">
        <f t="shared" si="6"/>
        <v>0</v>
      </c>
      <c r="I59" s="181" t="str">
        <f ca="1">OFFSET(L!$C$1,MATCH("Checker"&amp;"Comp",L!$A:$A,0)-1,SL,,)</f>
        <v>填写</v>
      </c>
      <c r="J59" s="22" t="str">
        <f ca="1">OFFSET(L!$C$1,MATCH("Checker"&amp;ADDRESS(ROW(),COLUMN(),4),L!$A:$A,0)-1,SL,,)</f>
        <v>在“申报”选项卡 D85 单元格中，回答贵公司的验证流程是否包括纠正措施管理</v>
      </c>
    </row>
    <row r="60" spans="1:12" ht="39">
      <c r="A60" s="105" t="str">
        <f ca="1">Declaration!B85</f>
        <v>I. 贵公司是否需要向 SEC 提交年度冲突矿产披露报告？ (*)</v>
      </c>
      <c r="B60" s="105" t="str">
        <f>Declaration!D85</f>
        <v>No</v>
      </c>
      <c r="C60" s="105" t="str">
        <f t="shared" ca="1" si="3"/>
        <v>填写</v>
      </c>
      <c r="D60" s="111" t="str">
        <f>IF(H60=1,"Click here to answer question (I)","")</f>
        <v/>
      </c>
      <c r="E60" s="87" t="s">
        <v>1437</v>
      </c>
      <c r="F60" s="110">
        <f t="shared" si="7"/>
        <v>1</v>
      </c>
      <c r="G60" s="84">
        <f t="shared" si="5"/>
        <v>0</v>
      </c>
      <c r="H60" s="85">
        <f t="shared" si="6"/>
        <v>0</v>
      </c>
      <c r="I60" s="181" t="str">
        <f ca="1">OFFSET(L!$C$1,MATCH("Checker"&amp;"Comp",L!$A:$A,0)-1,SL,,)</f>
        <v>填写</v>
      </c>
      <c r="J60" s="22" t="str">
        <f ca="1">OFFSET(L!$C$1,MATCH("Checker"&amp;ADDRESS(ROW(),COLUMN(),4),L!$A:$A,0)-1,SL,,)</f>
        <v>在“申报”选项卡 D87 单元格中，回答贵公司是否需要遵守 SEC 披露要求</v>
      </c>
    </row>
    <row r="61" spans="1:12" ht="39">
      <c r="A61" s="106" t="s">
        <v>1385</v>
      </c>
      <c r="B61" s="105" t="str">
        <f>IF(G61=1,"No products or item numbers listed","One or more product / item numbers have been provided")</f>
        <v>No products or item numbers listed</v>
      </c>
      <c r="C61" s="105" t="str">
        <f t="shared" ca="1" si="3"/>
        <v>填写</v>
      </c>
      <c r="D61" s="111" t="str">
        <f>IF(H61=1,"Click here to enter detail on Product List tab","")</f>
        <v/>
      </c>
      <c r="E61" s="87" t="s">
        <v>1437</v>
      </c>
      <c r="F61" s="110">
        <f>IF(B5=Declaration!Q9,1,0)</f>
        <v>0</v>
      </c>
      <c r="G61" s="84">
        <f>IF('Product List'!B6="",1,0)</f>
        <v>1</v>
      </c>
      <c r="H61" s="85">
        <f t="shared" si="6"/>
        <v>0</v>
      </c>
      <c r="I61" s="181" t="str">
        <f ca="1">OFFSET(L!$C$1,MATCH("Checker"&amp;"Comp",L!$A:$A,0)-1,SL,,)</f>
        <v>填写</v>
      </c>
      <c r="J61" s="22" t="str">
        <f ca="1">OFFSET(L!$C$1,MATCH("Checker"&amp;ADDRESS(ROW(),COLUMN(),4),L!$A:$A,0)-1,SL,,)</f>
        <v>如果合适，提供此申报所适用的一个或多个产品或项目编号。从“申报”选项卡 6H1 单元格中，选择超链接进入“产品列表”选项卡</v>
      </c>
    </row>
    <row r="62" spans="1:12" ht="39">
      <c r="A62" s="105" t="s">
        <v>2116</v>
      </c>
      <c r="B62" s="105"/>
      <c r="C62" s="105" t="str">
        <f ca="1">IF(K62=1,L62,IF(B15="No","Not Required",IF(G62=0,I62,J62)))</f>
        <v>填写</v>
      </c>
      <c r="D62" s="111" t="str">
        <f ca="1">IF(H62=0,"","Click here to provide smelter information")</f>
        <v/>
      </c>
      <c r="E62" s="87" t="s">
        <v>1437</v>
      </c>
      <c r="F62" s="110">
        <f>F25</f>
        <v>1</v>
      </c>
      <c r="G62" s="84">
        <f ca="1">IF(AND(COUNTIF(SmelterIdetifiedForMetal,"Tantalum")&gt;0,COUNTIF('Smelter List'!AB$5:AB$2493,"Tantalum?*")&gt;0),0,1)</f>
        <v>0</v>
      </c>
      <c r="H62" s="85">
        <f t="shared" ca="1" si="6"/>
        <v>0</v>
      </c>
      <c r="I62" s="181" t="str">
        <f ca="1">OFFSET(L!$C$1,MATCH("Checker"&amp;"Comp",L!$A:$A,0)-1,SL,,)</f>
        <v>填写</v>
      </c>
      <c r="J62" s="22" t="str">
        <f ca="1">OFFSET(L!$C$1,MATCH("Checker"&amp;ADDRESS(ROW(),COLUMN(),4),L!$A:$A,0)-1,SL,,)</f>
        <v>在“冶炼厂目录”选项卡中，提供向供应链提供材料的钽冶炼厂列表</v>
      </c>
      <c r="K62" s="188">
        <f>IF(H15+H20&gt;0,1,0)</f>
        <v>0</v>
      </c>
      <c r="L62" s="22" t="str">
        <f ca="1">OFFSET(L!$C$1,MATCH("Checker"&amp;ADDRESS(ROW(),COLUMN(),4),L!$A:$A,0)-1,SL,,)</f>
        <v>请回答“申报”选项卡中的问题 1/问题 2</v>
      </c>
    </row>
    <row r="63" spans="1:12" ht="39">
      <c r="A63" s="105" t="s">
        <v>2117</v>
      </c>
      <c r="B63" s="105"/>
      <c r="C63" s="105" t="str">
        <f ca="1">IF(K63=1,L63,IF(B16="No","Not Required",IF(G63=0,I63,J63)))</f>
        <v>填写</v>
      </c>
      <c r="D63" s="111" t="str">
        <f ca="1">IF(H63=0,"","Click here to provide smelter information")</f>
        <v/>
      </c>
      <c r="E63" s="87" t="s">
        <v>918</v>
      </c>
      <c r="F63" s="110">
        <f>F26</f>
        <v>1</v>
      </c>
      <c r="G63" s="84">
        <f ca="1">IF(AND(COUNTIF(SmelterIdetifiedForMetal,"Tin")&gt;0,COUNTIF('Smelter List'!AB$5:AB$2493,"Tin?*")&gt;0),0,1)</f>
        <v>0</v>
      </c>
      <c r="H63" s="85">
        <f t="shared" ca="1" si="6"/>
        <v>0</v>
      </c>
      <c r="I63" s="181" t="str">
        <f ca="1">OFFSET(L!$C$1,MATCH("Checker"&amp;"Comp",L!$A:$A,0)-1,SL,,)</f>
        <v>填写</v>
      </c>
      <c r="J63" s="22" t="str">
        <f ca="1">OFFSET(L!$C$1,MATCH("Checker"&amp;ADDRESS(ROW(),COLUMN(),4),L!$A:$A,0)-1,SL,,)</f>
        <v>在“冶炼厂目录”选项卡中，提供向供应链提供材料的锡冶炼厂列表</v>
      </c>
      <c r="K63" s="188">
        <f>IF(H16+H21&gt;0,1,0)</f>
        <v>0</v>
      </c>
      <c r="L63" s="22" t="str">
        <f ca="1">OFFSET(L!$C$1,MATCH("Checker"&amp;ADDRESS(ROW(),COLUMN(),4),L!$A:$A,0)-1,SL,,)</f>
        <v>请回答“申报”选项卡中的问题 1/问题 2</v>
      </c>
    </row>
    <row r="64" spans="1:12" ht="39">
      <c r="A64" s="105" t="s">
        <v>2118</v>
      </c>
      <c r="B64" s="105"/>
      <c r="C64" s="105" t="str">
        <f ca="1">IF(K64=1,L64,IF(B17="No","Not Required",IF(G64=0,I64,J64)))</f>
        <v>填写</v>
      </c>
      <c r="D64" s="111" t="str">
        <f ca="1">IF(H64=0,"","Click here to provide smelter information")</f>
        <v/>
      </c>
      <c r="E64" s="87" t="s">
        <v>918</v>
      </c>
      <c r="F64" s="110">
        <f>F27</f>
        <v>1</v>
      </c>
      <c r="G64" s="84">
        <f ca="1">IF(AND(COUNTIF(SmelterIdetifiedForMetal,"Gold")&gt;0,COUNTIF('Smelter List'!AB$5:AB$2493,"Gold?*")&gt;0),0,1)</f>
        <v>0</v>
      </c>
      <c r="H64" s="85">
        <f t="shared" ca="1" si="6"/>
        <v>0</v>
      </c>
      <c r="I64" s="181" t="str">
        <f ca="1">OFFSET(L!$C$1,MATCH("Checker"&amp;"Comp",L!$A:$A,0)-1,SL,,)</f>
        <v>填写</v>
      </c>
      <c r="J64" s="22" t="str">
        <f ca="1">OFFSET(L!$C$1,MATCH("Checker"&amp;ADDRESS(ROW(),COLUMN(),4),L!$A:$A,0)-1,SL,,)</f>
        <v>在“冶炼厂目录”选项卡中，提供向供应链提供材料的金冶炼厂列表</v>
      </c>
      <c r="K64" s="188">
        <f>IF(H17+H22&gt;0,1,0)</f>
        <v>0</v>
      </c>
      <c r="L64" s="22" t="str">
        <f ca="1">OFFSET(L!$C$1,MATCH("Checker"&amp;ADDRESS(ROW(),COLUMN(),4),L!$A:$A,0)-1,SL,,)</f>
        <v>请回答“申报”选项卡中的问题 1/问题 2</v>
      </c>
    </row>
    <row r="65" spans="1:12" ht="39">
      <c r="A65" s="105" t="s">
        <v>2119</v>
      </c>
      <c r="B65" s="105"/>
      <c r="C65" s="105" t="str">
        <f>IF(K65=1,L65,IF(B18="No","Not Required",IF(G65=0,I65,J65)))</f>
        <v>Not Required</v>
      </c>
      <c r="D65" s="111" t="str">
        <f ca="1">IF(H65=0,"","Click here to provide smelter information")</f>
        <v/>
      </c>
      <c r="E65" s="87" t="s">
        <v>918</v>
      </c>
      <c r="F65" s="110">
        <f>F28</f>
        <v>0</v>
      </c>
      <c r="G65" s="84">
        <f ca="1">IF(AND(COUNTIF(SmelterIdetifiedForMetal,"Tungsten")&gt;0,COUNTIF('Smelter List'!AB$5:AB$2493,"Tungsten?*")&gt;0),0,1)</f>
        <v>1</v>
      </c>
      <c r="H65" s="85">
        <f t="shared" ca="1" si="6"/>
        <v>0</v>
      </c>
      <c r="I65" s="181" t="str">
        <f ca="1">OFFSET(L!$C$1,MATCH("Checker"&amp;"Comp",L!$A:$A,0)-1,SL,,)</f>
        <v>填写</v>
      </c>
      <c r="J65" s="22" t="str">
        <f ca="1">OFFSET(L!$C$1,MATCH("Checker"&amp;ADDRESS(ROW(),COLUMN(),4),L!$A:$A,0)-1,SL,,)</f>
        <v>在“冶炼厂目录”选项卡中，提供向供应链提供材料的钨冶炼厂列表</v>
      </c>
      <c r="K65" s="188">
        <f>IF(H18+H23&gt;0,1,0)</f>
        <v>0</v>
      </c>
      <c r="L65" s="22" t="str">
        <f ca="1">OFFSET(L!$C$1,MATCH("Checker"&amp;ADDRESS(ROW(),COLUMN(),4),L!$A:$A,0)-1,SL,,)</f>
        <v>请回答“申报”选项卡中的问题 1/问题 2</v>
      </c>
    </row>
    <row r="66" spans="1:12" ht="25.5">
      <c r="A66" s="195" t="s">
        <v>2984</v>
      </c>
      <c r="B66" s="105"/>
      <c r="C66" s="195" t="str">
        <f ca="1">IF(F66=0,J66,IF(G66=0,I66,L66))</f>
        <v>N/A</v>
      </c>
      <c r="D66" s="111"/>
      <c r="E66" s="87"/>
      <c r="F66" s="110">
        <f ca="1">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填写</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0" t="str">
        <f ca="1">OFFSET(L!$C$1,MATCH("Product List"&amp;ADDRESS(ROW(),COLUMN(),4),L!$A:$A,0)-1,SL,,)</f>
        <v xml:space="preserve">如果“申报”工作表上选择的报告层面为“产品（或产品列表）”，才需要填写此项。 </v>
      </c>
      <c r="B1" s="441"/>
      <c r="C1" s="441"/>
      <c r="D1" s="441"/>
      <c r="E1" s="149"/>
    </row>
    <row r="2" spans="1:6">
      <c r="A2" s="29"/>
      <c r="B2" s="151"/>
      <c r="C2" s="151"/>
      <c r="D2"/>
      <c r="E2" s="30"/>
    </row>
    <row r="3" spans="1:6">
      <c r="A3" s="29"/>
      <c r="B3" s="151"/>
      <c r="C3" s="151"/>
      <c r="D3" s="151"/>
      <c r="E3" s="30"/>
    </row>
    <row r="4" spans="1:6" ht="15.75" customHeight="1">
      <c r="A4" s="29"/>
      <c r="B4" s="439" t="s">
        <v>1014</v>
      </c>
      <c r="C4" s="439"/>
      <c r="D4" s="439"/>
      <c r="E4" s="30"/>
    </row>
    <row r="5" spans="1:6" ht="15.75">
      <c r="A5" s="164"/>
      <c r="B5" s="166" t="str">
        <f ca="1">OFFSET(L!$C$1,MATCH("Product List"&amp;ADDRESS(ROW(),COLUMN(),4),L!$A:$A,0)-1,SL,,)</f>
        <v>制造商的产品序号 (*)</v>
      </c>
      <c r="C5" s="166" t="str">
        <f ca="1">OFFSET(L!$C$1,MATCH("Product List"&amp;ADDRESS(ROW(),COLUMN(),4),L!$A:$A,0)-1,SL,,)</f>
        <v>制造商的产品名称</v>
      </c>
      <c r="D5" s="88" t="str">
        <f ca="1">OFFSET(L!$C$1,MATCH("Product List"&amp;ADDRESS(ROW(),COLUMN(),4),L!$A:$A,0)-1,SL,,)</f>
        <v xml:space="preserve">
评论</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2" t="str">
        <f ca="1">OFFSET(L!$C$1,MATCH("General"&amp;"Cpy",L!$A:$A,0)-1,SL,,)</f>
        <v>© 2019 Responsible Minerals Initiative。保留所有权利。</v>
      </c>
      <c r="C1001" s="442"/>
      <c r="D1001" s="442"/>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87"/>
  <sheetViews>
    <sheetView zoomScaleNormal="100" zoomScalePageLayoutView="85" workbookViewId="0">
      <pane ySplit="4" topLeftCell="A16" activePane="bottomLeft" state="frozen"/>
      <selection pane="bottomLeft" sqref="A1:G1"/>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43" t="str">
        <f ca="1">OFFSET(L!$C$1,MATCH("Smelter Look-up"&amp;ADDRESS(ROW(),COLUMN(),4),L!$A:$A,0)-1,SL,,)</f>
        <v>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v>
      </c>
      <c r="B1" s="443"/>
      <c r="C1" s="443"/>
      <c r="D1" s="443"/>
      <c r="E1" s="443"/>
      <c r="F1" s="443"/>
      <c r="G1" s="443"/>
    </row>
    <row r="2" spans="1:16">
      <c r="A2" s="444"/>
      <c r="B2" s="444"/>
      <c r="C2" s="444"/>
      <c r="D2" s="444"/>
      <c r="E2" s="444"/>
      <c r="F2" s="444"/>
      <c r="G2" s="444"/>
      <c r="H2" s="444"/>
      <c r="I2" s="444"/>
    </row>
    <row r="3" spans="1:16">
      <c r="A3" s="444"/>
      <c r="B3" s="444"/>
      <c r="C3" s="444"/>
      <c r="D3" s="444"/>
      <c r="E3" s="444"/>
      <c r="F3" s="444"/>
      <c r="G3" s="444"/>
      <c r="H3" s="444"/>
      <c r="I3" s="444"/>
    </row>
    <row r="4" spans="1:16" s="228" customFormat="1" ht="51">
      <c r="A4" s="227" t="str">
        <f ca="1">OFFSET(L!$C$1,MATCH("Smelter Look-up"&amp;ADDRESS(ROW(),COLUMN(),4),L!$A:$A,0)-1,SL,,)</f>
        <v>金属</v>
      </c>
      <c r="B4" s="227" t="str">
        <f ca="1">OFFSET(L!$C$1,MATCH("Smelter Look-up"&amp;ADDRESS(ROW(),COLUMN(),4),L!$A:$A,0)-1,SL,,)</f>
        <v>冶炼厂查找 (*)</v>
      </c>
      <c r="C4" s="227" t="str">
        <f ca="1">OFFSET(L!$C$1,MATCH("Smelter Look-up"&amp;ADDRESS(ROW(),COLUMN(),4),L!$A:$A,0)-1,SL,,)</f>
        <v>标准冶炼厂名称</v>
      </c>
      <c r="D4" s="227" t="str">
        <f ca="1">OFFSET(L!$C$1,MATCH("Smelter Look-up"&amp;ADDRESS(ROW(),COLUMN(),4),L!$A:$A,0)-1,SL,,)</f>
        <v>冶炼厂地址：国家或地区</v>
      </c>
      <c r="E4" s="227" t="str">
        <f ca="1">OFFSET(L!$C$1,MATCH("Smelter Look-up"&amp;ADDRESS(ROW(),COLUMN(),4),L!$A:$A,0)-1,SL,,)</f>
        <v>冶炼厂 ID</v>
      </c>
      <c r="F4" s="227" t="str">
        <f ca="1">OFFSET(L!$C$1,MATCH("Smelter Look-up"&amp;ADDRESS(ROW(),COLUMN(),4),L!$A:$A,0)-1,SL,,)</f>
        <v>冶炼厂出处识别号</v>
      </c>
      <c r="G4" s="227" t="str">
        <f ca="1">OFFSET(L!$C$1,MATCH("Smelter Look-up"&amp;ADDRESS(ROW(),COLUMN(),4),L!$A:$A,0)-1,SL,,)</f>
        <v>冶炼厂所在街道</v>
      </c>
      <c r="H4" s="227" t="str">
        <f ca="1">OFFSET(L!$C$1,MATCH("Smelter Look-up"&amp;ADDRESS(ROW(),COLUMN(),4),L!$A:$A,0)-1,SL,,)</f>
        <v>冶炼厂所在城市</v>
      </c>
      <c r="I4" s="227" t="str">
        <f ca="1">OFFSET(L!$C$1,MATCH("Smelter Look-up"&amp;ADDRESS(ROW(),COLUMN(),4),L!$A:$A,0)-1,SL,,)</f>
        <v>冶炼厂地址：州/省</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84.75">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299.2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28.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48.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16.7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48.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28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84.75">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3">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10">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05">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90">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75.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70.5">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20">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42.75">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28.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42">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71">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56.75">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27.75">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27.7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78.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42.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71">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42.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14">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28.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42">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56.75">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28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70.7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07">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199.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45">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0">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15.7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1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28.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28.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28.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42.75">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28.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42.75">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57">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42.75">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42.75">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42.75">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42.75">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42.75">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42.75">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42.75">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5.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28.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85.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工作表</vt:lpstr>
      </vt:variant>
      <vt:variant>
        <vt:i4>11</vt:i4>
      </vt:variant>
      <vt:variant>
        <vt:lpstr>命名范围</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fangcuidan</cp:lastModifiedBy>
  <cp:lastPrinted>2015-04-21T20:47:43Z</cp:lastPrinted>
  <dcterms:created xsi:type="dcterms:W3CDTF">2010-06-21T21:00:23Z</dcterms:created>
  <dcterms:modified xsi:type="dcterms:W3CDTF">2019-10-08T02:15:44Z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